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08" yWindow="192" windowWidth="14028" windowHeight="8256" tabRatio="913"/>
  </bookViews>
  <sheets>
    <sheet name="Recipe Sheet" sheetId="17" r:id="rId1"/>
    <sheet name="BrewHouse Setup" sheetId="14" r:id="rId2"/>
    <sheet name="Grain Bill Calcs" sheetId="13" r:id="rId3"/>
    <sheet name="Mash Calcs" sheetId="4" r:id="rId4"/>
    <sheet name="Hops Calcs" sheetId="16" r:id="rId5"/>
    <sheet name="Conversion Tables" sheetId="5" r:id="rId6"/>
    <sheet name="Priming" sheetId="7" r:id="rId7"/>
    <sheet name="Common Variables" sheetId="8" r:id="rId8"/>
  </sheets>
  <definedNames>
    <definedName name="_xlnm._FilterDatabase" localSheetId="2" hidden="1">'Grain Bill Calcs'!$B$2:$L$14</definedName>
  </definedNames>
  <calcPr calcId="125725"/>
</workbook>
</file>

<file path=xl/calcChain.xml><?xml version="1.0" encoding="utf-8"?>
<calcChain xmlns="http://schemas.openxmlformats.org/spreadsheetml/2006/main">
  <c r="G8" i="16"/>
  <c r="G9"/>
  <c r="G10"/>
  <c r="G11"/>
  <c r="G12"/>
  <c r="G13"/>
  <c r="G7"/>
  <c r="K13" i="13"/>
  <c r="J13"/>
  <c r="N4" i="17"/>
  <c r="B23"/>
  <c r="D23"/>
  <c r="B24"/>
  <c r="D24"/>
  <c r="B26"/>
  <c r="D26"/>
  <c r="B27"/>
  <c r="D27"/>
  <c r="B28"/>
  <c r="D28"/>
  <c r="B29"/>
  <c r="D29"/>
  <c r="C16"/>
  <c r="B20"/>
  <c r="C20"/>
  <c r="D20"/>
  <c r="B21"/>
  <c r="C21"/>
  <c r="D21"/>
  <c r="B22"/>
  <c r="C22"/>
  <c r="D22"/>
  <c r="E5"/>
  <c r="E3"/>
  <c r="E1"/>
  <c r="D9"/>
  <c r="D10"/>
  <c r="D11"/>
  <c r="D12"/>
  <c r="D13"/>
  <c r="D14"/>
  <c r="D15"/>
  <c r="G8"/>
  <c r="H8"/>
  <c r="I8"/>
  <c r="J8"/>
  <c r="K8"/>
  <c r="G9"/>
  <c r="H9"/>
  <c r="I9"/>
  <c r="J9"/>
  <c r="K9"/>
  <c r="G10"/>
  <c r="H10"/>
  <c r="I10"/>
  <c r="J10"/>
  <c r="K10"/>
  <c r="G11"/>
  <c r="H11"/>
  <c r="I11"/>
  <c r="J11"/>
  <c r="K11"/>
  <c r="G12"/>
  <c r="H12"/>
  <c r="I12"/>
  <c r="J12"/>
  <c r="K12"/>
  <c r="G13"/>
  <c r="H13"/>
  <c r="I13"/>
  <c r="J13"/>
  <c r="K13"/>
  <c r="G14"/>
  <c r="H14"/>
  <c r="I14"/>
  <c r="J14"/>
  <c r="K14"/>
  <c r="G15"/>
  <c r="H15"/>
  <c r="I15"/>
  <c r="J15"/>
  <c r="K15"/>
  <c r="C9"/>
  <c r="C10"/>
  <c r="C11"/>
  <c r="C12"/>
  <c r="C13"/>
  <c r="C14"/>
  <c r="C15"/>
  <c r="B9"/>
  <c r="B10"/>
  <c r="B11"/>
  <c r="B12"/>
  <c r="B13"/>
  <c r="B14"/>
  <c r="B15"/>
  <c r="B12" i="4"/>
  <c r="B8"/>
  <c r="B7"/>
  <c r="B11"/>
  <c r="B10"/>
  <c r="C24" i="17" s="1"/>
  <c r="F12" i="13"/>
  <c r="G6" s="1"/>
  <c r="I11"/>
  <c r="K3"/>
  <c r="I6" s="1"/>
  <c r="E6"/>
  <c r="E7"/>
  <c r="E8"/>
  <c r="E9"/>
  <c r="E10"/>
  <c r="E11"/>
  <c r="E5"/>
  <c r="B13" i="14"/>
  <c r="B16" s="1"/>
  <c r="C15" i="5"/>
  <c r="D5"/>
  <c r="C13"/>
  <c r="C11"/>
  <c r="C9"/>
  <c r="C3"/>
  <c r="C5"/>
  <c r="D3"/>
  <c r="B5" i="8"/>
  <c r="A14"/>
  <c r="C14"/>
  <c r="E14"/>
  <c r="B4" i="7"/>
  <c r="B7" s="1"/>
  <c r="B8" s="1"/>
  <c r="B9" s="1"/>
  <c r="F4"/>
  <c r="F5"/>
  <c r="F6"/>
  <c r="F7"/>
  <c r="F8"/>
  <c r="F9"/>
  <c r="F10"/>
  <c r="F11"/>
  <c r="F12"/>
  <c r="F13"/>
  <c r="F14"/>
  <c r="F15"/>
  <c r="B20"/>
  <c r="B21" s="1"/>
  <c r="B22" s="1"/>
  <c r="I5" i="13" l="1"/>
  <c r="K5" s="1"/>
  <c r="I5" i="16"/>
  <c r="E4" i="17"/>
  <c r="G3" i="13"/>
  <c r="B15" i="14"/>
  <c r="B17" s="1"/>
  <c r="B16" i="4" s="1"/>
  <c r="I7" i="13"/>
  <c r="K7" s="1"/>
  <c r="I9"/>
  <c r="B15" i="4"/>
  <c r="K11" i="13"/>
  <c r="K9"/>
  <c r="I8"/>
  <c r="K8" s="1"/>
  <c r="K6"/>
  <c r="I10"/>
  <c r="B9" i="4"/>
  <c r="C23" i="17" s="1"/>
  <c r="G8" i="13"/>
  <c r="G11"/>
  <c r="G5"/>
  <c r="G7"/>
  <c r="G9"/>
  <c r="G10"/>
  <c r="B29" i="7"/>
  <c r="B30" s="1"/>
  <c r="B31" s="1"/>
  <c r="B23"/>
  <c r="B24" s="1"/>
  <c r="B25" s="1"/>
  <c r="B26"/>
  <c r="B27" s="1"/>
  <c r="B28" s="1"/>
  <c r="B5"/>
  <c r="B6" s="1"/>
  <c r="B13"/>
  <c r="B14" s="1"/>
  <c r="B15" s="1"/>
  <c r="B10"/>
  <c r="B11" s="1"/>
  <c r="B12" s="1"/>
  <c r="H8" i="13" l="1"/>
  <c r="H5"/>
  <c r="H11"/>
  <c r="C3"/>
  <c r="H6"/>
  <c r="H9"/>
  <c r="H10"/>
  <c r="E2" i="17"/>
  <c r="H7" i="13"/>
  <c r="J9"/>
  <c r="B13" i="4"/>
  <c r="B14" s="1"/>
  <c r="B20"/>
  <c r="G12" i="13"/>
  <c r="K12"/>
  <c r="K2" i="17" s="1"/>
  <c r="K10" i="13"/>
  <c r="J11" l="1"/>
  <c r="J5"/>
  <c r="J7"/>
  <c r="J10"/>
  <c r="J6"/>
  <c r="H12"/>
  <c r="J14" s="1"/>
  <c r="H5" i="17" s="1"/>
  <c r="J8" i="13"/>
  <c r="B17" i="4"/>
  <c r="D15"/>
  <c r="J12" i="13" l="1"/>
  <c r="B18" i="4"/>
  <c r="C25" i="17" s="1"/>
  <c r="K1" l="1"/>
  <c r="D5" i="16"/>
  <c r="B24" i="4"/>
  <c r="C29" i="17" s="1"/>
  <c r="B19" i="4"/>
  <c r="B23" s="1"/>
  <c r="C28" i="17" l="1"/>
  <c r="D23" i="4"/>
  <c r="H9" i="16"/>
  <c r="I9" s="1"/>
  <c r="L11" i="17" s="1"/>
  <c r="H12" i="16"/>
  <c r="I12" s="1"/>
  <c r="L14" i="17" s="1"/>
  <c r="H10" i="16"/>
  <c r="I10" s="1"/>
  <c r="L12" i="17" s="1"/>
  <c r="H8" i="16"/>
  <c r="I8" s="1"/>
  <c r="L10" i="17" s="1"/>
  <c r="H11" i="16"/>
  <c r="I11" s="1"/>
  <c r="L13" i="17" s="1"/>
  <c r="H7" i="16"/>
  <c r="I7" s="1"/>
  <c r="H13"/>
  <c r="I13" s="1"/>
  <c r="L15" i="17" s="1"/>
  <c r="B22" i="4"/>
  <c r="B21"/>
  <c r="C26" i="17" s="1"/>
  <c r="C27" l="1"/>
  <c r="D22" i="4"/>
  <c r="I14" i="16"/>
  <c r="L16" i="17" s="1"/>
  <c r="L9"/>
</calcChain>
</file>

<file path=xl/comments1.xml><?xml version="1.0" encoding="utf-8"?>
<comments xmlns="http://schemas.openxmlformats.org/spreadsheetml/2006/main">
  <authors>
    <author>Larry Carpenter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Larry Carpenter:</t>
        </r>
        <r>
          <rPr>
            <sz val="9"/>
            <color indexed="81"/>
            <rFont val="Tahoma"/>
            <family val="2"/>
          </rPr>
          <t xml:space="preserve">
Enter 'FWH' for First Wort Hops or 'Dry Hop' if for dry hopping.
</t>
        </r>
      </text>
    </comment>
  </commentList>
</comments>
</file>

<file path=xl/sharedStrings.xml><?xml version="1.0" encoding="utf-8"?>
<sst xmlns="http://schemas.openxmlformats.org/spreadsheetml/2006/main" count="363" uniqueCount="251">
  <si>
    <t>gal</t>
  </si>
  <si>
    <t>=</t>
  </si>
  <si>
    <t>amu</t>
  </si>
  <si>
    <t>C =</t>
  </si>
  <si>
    <t>O =</t>
  </si>
  <si>
    <t>H =</t>
  </si>
  <si>
    <t>Avogadro's #</t>
  </si>
  <si>
    <t>+</t>
  </si>
  <si>
    <t>ethanol</t>
  </si>
  <si>
    <t xml:space="preserve">R = </t>
  </si>
  <si>
    <r>
      <t>L•atm•K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•mol</t>
    </r>
    <r>
      <rPr>
        <vertAlign val="superscript"/>
        <sz val="10"/>
        <rFont val="Arial"/>
        <family val="2"/>
      </rPr>
      <t>-1</t>
    </r>
  </si>
  <si>
    <t>T =</t>
  </si>
  <si>
    <t xml:space="preserve">P = </t>
  </si>
  <si>
    <t>atm</t>
  </si>
  <si>
    <r>
      <t>Alcohol &amp;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production</t>
    </r>
  </si>
  <si>
    <t>Constants &amp; Variables</t>
  </si>
  <si>
    <t>ºK</t>
  </si>
  <si>
    <r>
      <t>L</t>
    </r>
    <r>
      <rPr>
        <vertAlign val="subscript"/>
        <sz val="10"/>
        <rFont val="Arial"/>
        <family val="2"/>
      </rPr>
      <t>CO2</t>
    </r>
    <r>
      <rPr>
        <sz val="10"/>
        <rFont val="Arial"/>
        <family val="2"/>
      </rPr>
      <t xml:space="preserve"> / L</t>
    </r>
    <r>
      <rPr>
        <vertAlign val="subscript"/>
        <sz val="10"/>
        <rFont val="Arial"/>
        <family val="2"/>
      </rPr>
      <t>beer</t>
    </r>
  </si>
  <si>
    <r>
      <t>g / L</t>
    </r>
    <r>
      <rPr>
        <vertAlign val="subscript"/>
        <sz val="10"/>
        <rFont val="Arial"/>
        <family val="2"/>
      </rPr>
      <t>beer</t>
    </r>
  </si>
  <si>
    <t>oz / gal</t>
  </si>
  <si>
    <t>oz / 5-gal batch</t>
  </si>
  <si>
    <t>ºC</t>
  </si>
  <si>
    <t>Temp</t>
  </si>
  <si>
    <t>ºF</t>
  </si>
  <si>
    <t>Beer Style</t>
  </si>
  <si>
    <t>British-style ales</t>
  </si>
  <si>
    <t>1.7 - 2.3</t>
  </si>
  <si>
    <t>1.9 - 2.4</t>
  </si>
  <si>
    <t>2.4 - 2.8</t>
  </si>
  <si>
    <t>3.0 - 4.5</t>
  </si>
  <si>
    <t>3.3 - 4.5</t>
  </si>
  <si>
    <t>Typical Carbonation Levels</t>
  </si>
  <si>
    <t>European lagers</t>
  </si>
  <si>
    <t>Belgian ales</t>
  </si>
  <si>
    <t>Porter, stout</t>
  </si>
  <si>
    <t>Lambic</t>
  </si>
  <si>
    <t>Fruit Lambic</t>
  </si>
  <si>
    <t>German Wheat</t>
  </si>
  <si>
    <r>
      <t>Vol. of CO</t>
    </r>
    <r>
      <rPr>
        <vertAlign val="subscript"/>
        <sz val="10"/>
        <rFont val="Arial"/>
        <family val="2"/>
      </rPr>
      <t>2</t>
    </r>
  </si>
  <si>
    <r>
      <t>Preferred Vol. of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=</t>
    </r>
  </si>
  <si>
    <t>Saturation Volume</t>
  </si>
  <si>
    <r>
      <t>Saturation Vol. of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=</t>
    </r>
  </si>
  <si>
    <r>
      <t>C</t>
    </r>
    <r>
      <rPr>
        <vertAlign val="subscript"/>
        <sz val="12"/>
        <rFont val="Arial"/>
        <family val="2"/>
      </rPr>
      <t>6</t>
    </r>
    <r>
      <rPr>
        <sz val="12"/>
        <rFont val="Arial"/>
        <family val="2"/>
      </rPr>
      <t>H</t>
    </r>
    <r>
      <rPr>
        <vertAlign val="subscript"/>
        <sz val="12"/>
        <rFont val="Arial"/>
        <family val="2"/>
      </rPr>
      <t>12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6</t>
    </r>
  </si>
  <si>
    <r>
      <t>2(CH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CH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OH)</t>
    </r>
  </si>
  <si>
    <r>
      <t>2(CO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)</t>
    </r>
  </si>
  <si>
    <t>→</t>
  </si>
  <si>
    <t>glucose</t>
  </si>
  <si>
    <t>carbon dioxide</t>
  </si>
  <si>
    <t>CO2 g/L</t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</si>
  <si>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g/L</t>
    </r>
  </si>
  <si>
    <t>2.7 - 3.9</t>
  </si>
  <si>
    <t>3.7 - 4.7</t>
  </si>
  <si>
    <t>4.3 - 5.3</t>
  </si>
  <si>
    <t>4.7 - 5.3</t>
  </si>
  <si>
    <t>6.5 - 8.8</t>
  </si>
  <si>
    <t>5.9 - 8.8</t>
  </si>
  <si>
    <r>
      <t>Saturation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=</t>
    </r>
  </si>
  <si>
    <r>
      <t>Preferred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=</t>
    </r>
  </si>
  <si>
    <r>
      <t>g</t>
    </r>
    <r>
      <rPr>
        <vertAlign val="subscript"/>
        <sz val="10"/>
        <rFont val="Arial"/>
        <family val="2"/>
      </rPr>
      <t>CO2</t>
    </r>
    <r>
      <rPr>
        <sz val="10"/>
        <rFont val="Arial"/>
        <family val="2"/>
      </rPr>
      <t xml:space="preserve"> / L</t>
    </r>
    <r>
      <rPr>
        <vertAlign val="subscript"/>
        <sz val="10"/>
        <rFont val="Arial"/>
        <family val="2"/>
      </rPr>
      <t>beer</t>
    </r>
  </si>
  <si>
    <t>Dextrose Monohydrate</t>
  </si>
  <si>
    <t>Pure Glucose</t>
  </si>
  <si>
    <t>Dextrose Monohydrate (Corn Sugar)</t>
  </si>
  <si>
    <r>
      <t>1</t>
    </r>
    <r>
      <rPr>
        <sz val="10"/>
        <rFont val="Arial"/>
        <family val="2"/>
      </rPr>
      <t xml:space="preserve"> HOMEBREW DIGEST #1796 (hbd.org/archive/1796.html)</t>
    </r>
  </si>
  <si>
    <r>
      <t>2</t>
    </r>
    <r>
      <rPr>
        <sz val="10"/>
        <rFont val="Arial"/>
        <family val="2"/>
      </rPr>
      <t xml:space="preserve"> Technical Guide to Bulk Priming (oz.craftbrewer.org/Library/Methods/BulkPriming/TechnicalGuide.shtml)</t>
    </r>
  </si>
  <si>
    <r>
      <t>3</t>
    </r>
    <r>
      <rPr>
        <sz val="10"/>
        <rFont val="Arial"/>
        <family val="2"/>
      </rPr>
      <t xml:space="preserve"> A Primer on Priming (www.brewery.org/library/YPrimerMH.html)</t>
    </r>
  </si>
  <si>
    <r>
      <t>Priming Sugar (Method #2)</t>
    </r>
    <r>
      <rPr>
        <vertAlign val="superscript"/>
        <sz val="10"/>
        <rFont val="Arial"/>
        <family val="2"/>
      </rPr>
      <t>2</t>
    </r>
  </si>
  <si>
    <r>
      <t>Dry Malt Extract</t>
    </r>
    <r>
      <rPr>
        <vertAlign val="superscript"/>
        <sz val="10"/>
        <rFont val="Arial"/>
        <family val="2"/>
      </rPr>
      <t>3</t>
    </r>
  </si>
  <si>
    <r>
      <t>Liquid Malt Extract</t>
    </r>
    <r>
      <rPr>
        <vertAlign val="superscript"/>
        <sz val="10"/>
        <rFont val="Arial"/>
        <family val="2"/>
      </rPr>
      <t>3</t>
    </r>
  </si>
  <si>
    <r>
      <t>Required Priming Sugar (Method #1)</t>
    </r>
    <r>
      <rPr>
        <vertAlign val="superscript"/>
        <sz val="10"/>
        <rFont val="Arial"/>
        <family val="2"/>
      </rPr>
      <t>1</t>
    </r>
  </si>
  <si>
    <r>
      <t>Vol. of CO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>(L)</t>
    </r>
  </si>
  <si>
    <t>Type</t>
  </si>
  <si>
    <t>Description</t>
  </si>
  <si>
    <t>Centennial</t>
  </si>
  <si>
    <t>Irish Moss</t>
  </si>
  <si>
    <t>American ales</t>
  </si>
  <si>
    <t>American lagers</t>
  </si>
  <si>
    <t>1.5 - 2.2</t>
  </si>
  <si>
    <t>2.8 - 5.1</t>
  </si>
  <si>
    <t>2.2 - 3.0</t>
  </si>
  <si>
    <t>2.5 - 2.8</t>
  </si>
  <si>
    <t>2.4 - 2.6</t>
  </si>
  <si>
    <t xml:space="preserve"> Extract to All-Grain Conversion</t>
  </si>
  <si>
    <t>Pale Malt (lb)</t>
  </si>
  <si>
    <t>Wheat Malt (lb)</t>
  </si>
  <si>
    <t>All-Grain to Extract Conversion</t>
  </si>
  <si>
    <t>LME (lb)</t>
  </si>
  <si>
    <t>DME (lb)</t>
  </si>
  <si>
    <t>LWE (lb)</t>
  </si>
  <si>
    <t>DWE (lb)</t>
  </si>
  <si>
    <t>DME - Dry Malt Extract</t>
  </si>
  <si>
    <t>LME - Liquid Malt Extract</t>
  </si>
  <si>
    <t>LWE - Liquid Wheat Extract</t>
  </si>
  <si>
    <t>DWE - Dry Wheat Extract</t>
  </si>
  <si>
    <t>IBU</t>
  </si>
  <si>
    <t>U</t>
  </si>
  <si>
    <t>Grain</t>
  </si>
  <si>
    <t>Amount (lb)</t>
  </si>
  <si>
    <t>Qty (oz)</t>
  </si>
  <si>
    <t>Total IBU</t>
  </si>
  <si>
    <t>Species</t>
  </si>
  <si>
    <t>Pellet</t>
  </si>
  <si>
    <t>Alpha (%)</t>
  </si>
  <si>
    <t>Time (min)</t>
  </si>
  <si>
    <t>Malt</t>
  </si>
  <si>
    <t>Hops Additions (Tinseth Equation)</t>
  </si>
  <si>
    <t>% Bill</t>
  </si>
  <si>
    <t>Extract Efficiency</t>
  </si>
  <si>
    <t>Extract</t>
  </si>
  <si>
    <t>Extract Efficiency (Actual)</t>
  </si>
  <si>
    <t>Extract Eff (%)</t>
  </si>
  <si>
    <t>O.G. (Measured)</t>
  </si>
  <si>
    <t>Total S.G. (Predicted)</t>
  </si>
  <si>
    <t>U Adj Factor</t>
  </si>
  <si>
    <t>Leaf</t>
  </si>
  <si>
    <t>Plug</t>
  </si>
  <si>
    <t>Potential S.G. per lb</t>
  </si>
  <si>
    <t>Grain Bill &amp; Extract Yield Calculations</t>
  </si>
  <si>
    <t>Pre Boil (points)</t>
  </si>
  <si>
    <t>Post Boil (points)</t>
  </si>
  <si>
    <t>Mash Calcs</t>
  </si>
  <si>
    <t>Total Grain</t>
  </si>
  <si>
    <t>Mash Temp</t>
  </si>
  <si>
    <t>Units</t>
  </si>
  <si>
    <t>qt/lb</t>
  </si>
  <si>
    <t>Water/Grist Ratio</t>
  </si>
  <si>
    <t>Mash tun Vessel Volume</t>
  </si>
  <si>
    <t>Strike Water to Add</t>
  </si>
  <si>
    <t>Strike Water Temp</t>
  </si>
  <si>
    <t>Ambient Grain Temp</t>
  </si>
  <si>
    <t>Value</t>
  </si>
  <si>
    <t>Title</t>
  </si>
  <si>
    <t>%</t>
  </si>
  <si>
    <t>Pre-Boil Volume</t>
  </si>
  <si>
    <t>Post-Boil Volume</t>
  </si>
  <si>
    <t>Size of Mash Tun</t>
  </si>
  <si>
    <t>Capacity of mash tun</t>
  </si>
  <si>
    <t>Brewhouse mash extract efficiency</t>
  </si>
  <si>
    <t>Target Batch Vol</t>
  </si>
  <si>
    <t>Evaporation Rate</t>
  </si>
  <si>
    <t>%/hr</t>
  </si>
  <si>
    <t>Rate of wort boil evaporation</t>
  </si>
  <si>
    <t>Size of Boil Kettle</t>
  </si>
  <si>
    <t>Capacity of boil kettle</t>
  </si>
  <si>
    <t>Boil Kettle Trub Loss</t>
  </si>
  <si>
    <t>Boil Time</t>
  </si>
  <si>
    <t>Min</t>
  </si>
  <si>
    <t>Length of boil</t>
  </si>
  <si>
    <t>Fermenter Loss</t>
  </si>
  <si>
    <t>Only used for calculating sparge water</t>
  </si>
  <si>
    <t>Lauter Tun Deadspace</t>
  </si>
  <si>
    <t>Account for evaporation loss and wort cooling shrinkage</t>
  </si>
  <si>
    <t>Sum of final batch size, trub loss, &amp; fermenter loss</t>
  </si>
  <si>
    <t>Temp at which water boils at your elevation above sea level.</t>
  </si>
  <si>
    <t>Water Boil Temp</t>
  </si>
  <si>
    <t>Pitching Temp</t>
  </si>
  <si>
    <t>Wort temp when racking to primary fermenter</t>
  </si>
  <si>
    <t>Effect of cooling wort from boil to pitching temp</t>
  </si>
  <si>
    <t>Amount of wort going into keg or bottles</t>
  </si>
  <si>
    <t>Left in kettle when rackign to primary fermenter</t>
  </si>
  <si>
    <t>Left in fermenter when kegging or bottling</t>
  </si>
  <si>
    <t>Required addition to compensate for evaporation</t>
  </si>
  <si>
    <t>°F</t>
  </si>
  <si>
    <t>Evaporation Loss</t>
  </si>
  <si>
    <t>Cooling Loss</t>
  </si>
  <si>
    <t>Max PPG</t>
  </si>
  <si>
    <t>Pre-Boil Vol:</t>
  </si>
  <si>
    <t>Post Boil Vol:</t>
  </si>
  <si>
    <t>Extract Efficiency:</t>
  </si>
  <si>
    <t>Max Th Yield (points)</t>
  </si>
  <si>
    <t>Adjustment Factors:</t>
  </si>
  <si>
    <t>Pellet:</t>
  </si>
  <si>
    <t>Plug:</t>
  </si>
  <si>
    <t>Leaf:</t>
  </si>
  <si>
    <t>Pale Malt - 2 Row (Cargill)</t>
  </si>
  <si>
    <t>Vienna Malt (Briess)</t>
  </si>
  <si>
    <t>Caramel Malt - 20L (Cargill)</t>
  </si>
  <si>
    <t>Carapils (Briess)</t>
  </si>
  <si>
    <t>Total Vol (Grain + Water)</t>
  </si>
  <si>
    <t>Sparge Vol Available</t>
  </si>
  <si>
    <t>qt</t>
  </si>
  <si>
    <t>Number of Steps Required</t>
  </si>
  <si>
    <t>Number of Batch Sparge steps</t>
  </si>
  <si>
    <t>Max desired fill capacity for Mash Tun</t>
  </si>
  <si>
    <t>Max Fill for Mash Tun</t>
  </si>
  <si>
    <t>Optimize # steps</t>
  </si>
  <si>
    <t>Optimize vol per step</t>
  </si>
  <si>
    <t>Grain Absorption</t>
  </si>
  <si>
    <t>Assume .5 qt/lb absorption of water by grain</t>
  </si>
  <si>
    <t>Dry Grain Volume Used</t>
  </si>
  <si>
    <t>available to drain in 1st step</t>
  </si>
  <si>
    <t>Is it less than 95% full?</t>
  </si>
  <si>
    <t>Assumes dry grain occupies .3125 qt/lb of volume</t>
  </si>
  <si>
    <t>Add for 2nd step</t>
  </si>
  <si>
    <t>Drain for 1st step</t>
  </si>
  <si>
    <t>Add for 3rd step</t>
  </si>
  <si>
    <t>3 Max</t>
  </si>
  <si>
    <t>Post Boil Volume (gal)</t>
  </si>
  <si>
    <t>PASS or FAIL. Ensure mash tun can hold it all.</t>
  </si>
  <si>
    <t>Grain Bill</t>
  </si>
  <si>
    <t>Amount</t>
  </si>
  <si>
    <t>Style:</t>
  </si>
  <si>
    <t>American IPA</t>
  </si>
  <si>
    <t>Type:</t>
  </si>
  <si>
    <t>All Grain</t>
  </si>
  <si>
    <t>min</t>
  </si>
  <si>
    <t>Brewer:</t>
  </si>
  <si>
    <t>Brew Date:</t>
  </si>
  <si>
    <t>Hop Bill &amp; Schedule</t>
  </si>
  <si>
    <t>Est. Efficiency:</t>
  </si>
  <si>
    <t>Batch Vol:</t>
  </si>
  <si>
    <t>Boil Time:</t>
  </si>
  <si>
    <t>Post-Boil Vol:</t>
  </si>
  <si>
    <t>FWH</t>
  </si>
  <si>
    <t>Dry Hop</t>
  </si>
  <si>
    <t>FWH:</t>
  </si>
  <si>
    <t>Enter 'FWH' for First Wort Hops -&gt;</t>
  </si>
  <si>
    <t>Enter 'Dry Hop' if dry hopping -&gt;</t>
  </si>
  <si>
    <t># of Steps Required</t>
  </si>
  <si>
    <t>Mash Variables &amp; Steps</t>
  </si>
  <si>
    <t>Add for 1st step</t>
  </si>
  <si>
    <t>Name</t>
  </si>
  <si>
    <t>Variable/Step</t>
  </si>
  <si>
    <t>750 ml</t>
  </si>
  <si>
    <t>Time</t>
  </si>
  <si>
    <t>Before</t>
  </si>
  <si>
    <t>Yeast Starter, Wyeast 1056</t>
  </si>
  <si>
    <t>15 min</t>
  </si>
  <si>
    <t>Coriander</t>
  </si>
  <si>
    <t>1 oz</t>
  </si>
  <si>
    <t>5 min</t>
  </si>
  <si>
    <t>Orange Peel, Bitter</t>
  </si>
  <si>
    <t>Other Ingredients/Additions</t>
  </si>
  <si>
    <t>Actual:</t>
  </si>
  <si>
    <t>ABV:</t>
  </si>
  <si>
    <t>Actual OG:</t>
  </si>
  <si>
    <t>Est. OG:</t>
  </si>
  <si>
    <t>Est. Pre-Boil SG:</t>
  </si>
  <si>
    <t>Actual SG:</t>
  </si>
  <si>
    <t>Actual FG:</t>
  </si>
  <si>
    <t>or</t>
  </si>
  <si>
    <t>^</t>
  </si>
  <si>
    <t>Enter:</t>
  </si>
  <si>
    <t>Avg. Boil Gravity</t>
  </si>
  <si>
    <t xml:space="preserve">NOTES: </t>
  </si>
  <si>
    <t>Total Add Water Required</t>
  </si>
  <si>
    <t>BEER-N-BBQ by Larry</t>
  </si>
  <si>
    <t xml:space="preserve">For Video Tutorial, see: </t>
  </si>
  <si>
    <t>https://youtu.be/efneG2Dls2c</t>
  </si>
  <si>
    <t>Temperature within milled grains</t>
  </si>
  <si>
    <t>Desired mash temp. Typical range: 148-156</t>
  </si>
  <si>
    <t>Typical range 1-1.5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</si>
</sst>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00E+00"/>
    <numFmt numFmtId="166" formatCode="0.0"/>
    <numFmt numFmtId="167" formatCode="0.0%"/>
  </numFmts>
  <fonts count="1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vertAlign val="subscript"/>
      <sz val="12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0"/>
      <color theme="10"/>
      <name val="Arial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14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right"/>
    </xf>
    <xf numFmtId="2" fontId="0" fillId="3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165" fontId="0" fillId="0" borderId="1" xfId="0" applyNumberFormat="1" applyBorder="1" applyAlignment="1">
      <alignment horizontal="center"/>
    </xf>
    <xf numFmtId="0" fontId="2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4" fillId="0" borderId="0" xfId="0" applyFont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2" fontId="0" fillId="4" borderId="1" xfId="0" applyNumberForma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2" fontId="0" fillId="5" borderId="1" xfId="0" applyNumberFormat="1" applyFill="1" applyBorder="1"/>
    <xf numFmtId="0" fontId="0" fillId="5" borderId="1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2" fontId="0" fillId="5" borderId="1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6" fontId="0" fillId="0" borderId="1" xfId="0" applyNumberFormat="1" applyBorder="1"/>
    <xf numFmtId="166" fontId="0" fillId="0" borderId="0" xfId="0" applyNumberFormat="1"/>
    <xf numFmtId="166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4" fontId="0" fillId="5" borderId="1" xfId="0" applyNumberFormat="1" applyFill="1" applyBorder="1"/>
    <xf numFmtId="0" fontId="0" fillId="0" borderId="1" xfId="0" applyBorder="1" applyAlignment="1">
      <alignment horizontal="center"/>
    </xf>
    <xf numFmtId="2" fontId="2" fillId="5" borderId="1" xfId="0" applyNumberFormat="1" applyFont="1" applyFill="1" applyBorder="1"/>
    <xf numFmtId="166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/>
    <xf numFmtId="2" fontId="0" fillId="5" borderId="1" xfId="1" applyNumberFormat="1" applyFont="1" applyFill="1" applyBorder="1" applyAlignment="1">
      <alignment horizontal="center"/>
    </xf>
    <xf numFmtId="0" fontId="0" fillId="5" borderId="1" xfId="0" applyFill="1" applyBorder="1"/>
    <xf numFmtId="0" fontId="2" fillId="0" borderId="1" xfId="0" applyFont="1" applyBorder="1" applyAlignment="1">
      <alignment horizontal="right"/>
    </xf>
    <xf numFmtId="167" fontId="0" fillId="5" borderId="1" xfId="1" applyNumberFormat="1" applyFont="1" applyFill="1" applyBorder="1"/>
    <xf numFmtId="0" fontId="2" fillId="0" borderId="1" xfId="0" applyFont="1" applyBorder="1" applyAlignment="1">
      <alignment horizontal="center"/>
    </xf>
    <xf numFmtId="166" fontId="0" fillId="5" borderId="1" xfId="0" applyNumberFormat="1" applyFill="1" applyBorder="1"/>
    <xf numFmtId="2" fontId="0" fillId="5" borderId="0" xfId="0" applyNumberFormat="1" applyFill="1"/>
    <xf numFmtId="9" fontId="0" fillId="5" borderId="1" xfId="1" applyFont="1" applyFill="1" applyBorder="1"/>
    <xf numFmtId="0" fontId="0" fillId="0" borderId="1" xfId="0" applyFill="1" applyBorder="1"/>
    <xf numFmtId="166" fontId="2" fillId="5" borderId="1" xfId="0" applyNumberFormat="1" applyFon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15" fontId="0" fillId="0" borderId="0" xfId="0" applyNumberFormat="1" applyAlignment="1">
      <alignment horizontal="left"/>
    </xf>
    <xf numFmtId="0" fontId="2" fillId="0" borderId="0" xfId="0" applyFont="1" applyAlignment="1">
      <alignment horizontal="right"/>
    </xf>
    <xf numFmtId="0" fontId="1" fillId="0" borderId="1" xfId="0" applyFont="1" applyFill="1" applyBorder="1" applyAlignment="1">
      <alignment horizontal="center"/>
    </xf>
    <xf numFmtId="9" fontId="0" fillId="0" borderId="0" xfId="1" applyFont="1"/>
    <xf numFmtId="0" fontId="0" fillId="0" borderId="0" xfId="0" applyAlignment="1">
      <alignment horizontal="center"/>
    </xf>
    <xf numFmtId="167" fontId="0" fillId="5" borderId="1" xfId="1" applyNumberFormat="1" applyFont="1" applyFill="1" applyBorder="1" applyAlignment="1">
      <alignment horizontal="center"/>
    </xf>
    <xf numFmtId="167" fontId="0" fillId="5" borderId="1" xfId="0" applyNumberFormat="1" applyFill="1" applyBorder="1" applyAlignment="1">
      <alignment horizontal="center"/>
    </xf>
    <xf numFmtId="2" fontId="0" fillId="5" borderId="10" xfId="0" applyNumberFormat="1" applyFill="1" applyBorder="1"/>
    <xf numFmtId="9" fontId="0" fillId="5" borderId="10" xfId="1" applyFont="1" applyFill="1" applyBorder="1"/>
    <xf numFmtId="164" fontId="2" fillId="5" borderId="10" xfId="0" applyNumberFormat="1" applyFont="1" applyFill="1" applyBorder="1" applyAlignment="1">
      <alignment horizontal="right"/>
    </xf>
    <xf numFmtId="167" fontId="0" fillId="5" borderId="0" xfId="1" applyNumberFormat="1" applyFont="1" applyFill="1"/>
    <xf numFmtId="164" fontId="0" fillId="5" borderId="10" xfId="0" applyNumberFormat="1" applyFill="1" applyBorder="1"/>
    <xf numFmtId="164" fontId="0" fillId="5" borderId="0" xfId="0" applyNumberFormat="1" applyFill="1"/>
    <xf numFmtId="0" fontId="0" fillId="5" borderId="0" xfId="0" applyFill="1"/>
    <xf numFmtId="1" fontId="0" fillId="5" borderId="0" xfId="0" applyNumberFormat="1" applyFill="1"/>
    <xf numFmtId="9" fontId="0" fillId="5" borderId="0" xfId="1" applyFont="1" applyFill="1"/>
    <xf numFmtId="0" fontId="0" fillId="7" borderId="1" xfId="0" applyFill="1" applyBorder="1" applyAlignment="1">
      <alignment horizontal="center"/>
    </xf>
    <xf numFmtId="166" fontId="0" fillId="7" borderId="1" xfId="0" applyNumberFormat="1" applyFill="1" applyBorder="1" applyAlignment="1">
      <alignment horizontal="center"/>
    </xf>
    <xf numFmtId="2" fontId="0" fillId="7" borderId="1" xfId="0" applyNumberFormat="1" applyFill="1" applyBorder="1" applyAlignment="1">
      <alignment horizontal="center"/>
    </xf>
    <xf numFmtId="2" fontId="0" fillId="7" borderId="1" xfId="0" applyNumberFormat="1" applyFill="1" applyBorder="1"/>
    <xf numFmtId="0" fontId="0" fillId="7" borderId="1" xfId="0" applyFill="1" applyBorder="1"/>
    <xf numFmtId="167" fontId="0" fillId="7" borderId="1" xfId="1" applyNumberFormat="1" applyFont="1" applyFill="1" applyBorder="1"/>
    <xf numFmtId="166" fontId="0" fillId="7" borderId="1" xfId="0" applyNumberFormat="1" applyFill="1" applyBorder="1"/>
    <xf numFmtId="0" fontId="0" fillId="6" borderId="1" xfId="0" applyFill="1" applyBorder="1" applyProtection="1">
      <protection locked="0"/>
    </xf>
    <xf numFmtId="164" fontId="0" fillId="6" borderId="1" xfId="0" applyNumberFormat="1" applyFill="1" applyBorder="1" applyProtection="1">
      <protection locked="0"/>
    </xf>
    <xf numFmtId="0" fontId="2" fillId="6" borderId="1" xfId="0" applyFont="1" applyFill="1" applyBorder="1" applyProtection="1">
      <protection locked="0"/>
    </xf>
    <xf numFmtId="2" fontId="0" fillId="6" borderId="6" xfId="0" applyNumberFormat="1" applyFill="1" applyBorder="1" applyAlignment="1" applyProtection="1">
      <alignment horizontal="center"/>
      <protection locked="0"/>
    </xf>
    <xf numFmtId="9" fontId="0" fillId="6" borderId="6" xfId="1" applyFont="1" applyFill="1" applyBorder="1" applyAlignment="1" applyProtection="1">
      <alignment horizontal="center"/>
      <protection locked="0"/>
    </xf>
    <xf numFmtId="167" fontId="0" fillId="6" borderId="6" xfId="0" applyNumberFormat="1" applyFill="1" applyBorder="1" applyAlignment="1" applyProtection="1">
      <alignment horizontal="center"/>
      <protection locked="0"/>
    </xf>
    <xf numFmtId="1" fontId="0" fillId="6" borderId="1" xfId="1" applyNumberFormat="1" applyFont="1" applyFill="1" applyBorder="1" applyAlignment="1" applyProtection="1">
      <alignment horizontal="center"/>
      <protection locked="0"/>
    </xf>
    <xf numFmtId="166" fontId="0" fillId="6" borderId="1" xfId="1" applyNumberFormat="1" applyFont="1" applyFill="1" applyBorder="1" applyAlignment="1" applyProtection="1">
      <alignment horizontal="center"/>
      <protection locked="0"/>
    </xf>
    <xf numFmtId="0" fontId="0" fillId="6" borderId="1" xfId="0" applyFill="1" applyBorder="1" applyAlignment="1" applyProtection="1">
      <alignment horizontal="center"/>
      <protection locked="0"/>
    </xf>
    <xf numFmtId="167" fontId="0" fillId="6" borderId="1" xfId="1" applyNumberFormat="1" applyFont="1" applyFill="1" applyBorder="1" applyAlignment="1" applyProtection="1">
      <alignment horizontal="center"/>
      <protection locked="0"/>
    </xf>
    <xf numFmtId="0" fontId="2" fillId="6" borderId="1" xfId="0" applyFont="1" applyFill="1" applyBorder="1" applyAlignment="1" applyProtection="1">
      <alignment horizontal="center"/>
      <protection locked="0"/>
    </xf>
    <xf numFmtId="2" fontId="0" fillId="6" borderId="1" xfId="0" applyNumberFormat="1" applyFill="1" applyBorder="1" applyAlignment="1" applyProtection="1">
      <alignment horizontal="center"/>
      <protection locked="0"/>
    </xf>
    <xf numFmtId="166" fontId="0" fillId="6" borderId="1" xfId="0" applyNumberFormat="1" applyFill="1" applyBorder="1" applyProtection="1">
      <protection locked="0"/>
    </xf>
    <xf numFmtId="9" fontId="0" fillId="6" borderId="1" xfId="1" applyFont="1" applyFill="1" applyBorder="1" applyProtection="1">
      <protection locked="0"/>
    </xf>
    <xf numFmtId="9" fontId="0" fillId="6" borderId="1" xfId="0" applyNumberFormat="1" applyFill="1" applyBorder="1" applyAlignment="1" applyProtection="1">
      <alignment horizontal="center"/>
      <protection locked="0"/>
    </xf>
    <xf numFmtId="166" fontId="0" fillId="6" borderId="1" xfId="0" applyNumberFormat="1" applyFill="1" applyBorder="1" applyAlignment="1" applyProtection="1">
      <alignment horizontal="center"/>
      <protection locked="0"/>
    </xf>
    <xf numFmtId="2" fontId="0" fillId="6" borderId="1" xfId="0" applyNumberFormat="1" applyFill="1" applyBorder="1" applyProtection="1">
      <protection locked="0"/>
    </xf>
    <xf numFmtId="0" fontId="10" fillId="0" borderId="0" xfId="2" applyAlignment="1" applyProtection="1"/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2" fillId="6" borderId="1" xfId="0" applyFont="1" applyFill="1" applyBorder="1" applyAlignment="1" applyProtection="1">
      <alignment horizontal="left"/>
      <protection locked="0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6" borderId="1" xfId="0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0" fillId="4" borderId="6" xfId="0" applyNumberFormat="1" applyFill="1" applyBorder="1" applyAlignment="1">
      <alignment horizontal="center" vertical="center"/>
    </xf>
    <xf numFmtId="2" fontId="0" fillId="4" borderId="4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2"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99"/>
      <color rgb="FF66CCFF"/>
      <color rgb="FF66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youtu.be/efneG2Dls2c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>
      <selection activeCell="I10" sqref="I10"/>
    </sheetView>
  </sheetViews>
  <sheetFormatPr defaultRowHeight="13.2"/>
  <cols>
    <col min="1" max="1" width="10.5546875" customWidth="1"/>
    <col min="2" max="2" width="23.88671875" customWidth="1"/>
    <col min="3" max="3" width="8.21875" customWidth="1"/>
    <col min="4" max="4" width="7.109375" customWidth="1"/>
    <col min="5" max="5" width="6.109375" customWidth="1"/>
    <col min="6" max="6" width="3.88671875" customWidth="1"/>
    <col min="7" max="7" width="7.77734375" bestFit="1" customWidth="1"/>
    <col min="8" max="8" width="7.33203125" customWidth="1"/>
    <col min="9" max="9" width="12.109375" customWidth="1"/>
    <col min="10" max="10" width="6.109375" customWidth="1"/>
    <col min="11" max="11" width="5.5546875" customWidth="1"/>
    <col min="12" max="12" width="6.88671875" customWidth="1"/>
    <col min="13" max="13" width="7.109375" customWidth="1"/>
    <col min="14" max="14" width="6.5546875" customWidth="1"/>
  </cols>
  <sheetData>
    <row r="1" spans="1:14">
      <c r="A1" s="28" t="s">
        <v>200</v>
      </c>
      <c r="B1" s="26" t="s">
        <v>201</v>
      </c>
      <c r="C1" s="109" t="s">
        <v>209</v>
      </c>
      <c r="D1" s="109"/>
      <c r="E1" s="79">
        <f>'BrewHouse Setup'!B9</f>
        <v>5.25</v>
      </c>
      <c r="F1" s="26" t="s">
        <v>0</v>
      </c>
      <c r="G1" s="26" t="s">
        <v>232</v>
      </c>
      <c r="H1" s="89"/>
      <c r="I1" s="109" t="s">
        <v>236</v>
      </c>
      <c r="J1" s="109"/>
      <c r="K1" s="78">
        <f>'Grain Bill Calcs'!J12</f>
        <v>1.0507220636138102</v>
      </c>
      <c r="L1" s="109" t="s">
        <v>237</v>
      </c>
      <c r="M1" s="109"/>
      <c r="N1" s="90"/>
    </row>
    <row r="2" spans="1:14">
      <c r="A2" s="28" t="s">
        <v>205</v>
      </c>
      <c r="B2" t="s">
        <v>245</v>
      </c>
      <c r="C2" s="109" t="s">
        <v>165</v>
      </c>
      <c r="D2" s="109"/>
      <c r="E2" s="57">
        <f>'BrewHouse Setup'!B17</f>
        <v>6.7426278750000002</v>
      </c>
      <c r="F2" s="26" t="s">
        <v>0</v>
      </c>
      <c r="G2" s="26" t="s">
        <v>232</v>
      </c>
      <c r="H2" s="89"/>
      <c r="I2" s="109" t="s">
        <v>235</v>
      </c>
      <c r="J2" s="109"/>
      <c r="K2" s="78">
        <f>'Grain Bill Calcs'!K12</f>
        <v>1.0588387096774192</v>
      </c>
      <c r="L2" s="109" t="s">
        <v>234</v>
      </c>
      <c r="M2" s="109"/>
      <c r="N2" s="90"/>
    </row>
    <row r="3" spans="1:14">
      <c r="A3" s="28" t="s">
        <v>206</v>
      </c>
      <c r="B3" s="66">
        <v>42523</v>
      </c>
      <c r="C3" s="109" t="s">
        <v>210</v>
      </c>
      <c r="D3" s="109"/>
      <c r="E3" s="80">
        <f>'BrewHouse Setup'!B6</f>
        <v>75</v>
      </c>
      <c r="F3" s="26" t="s">
        <v>204</v>
      </c>
      <c r="I3" s="109"/>
      <c r="J3" s="109"/>
      <c r="L3" s="109" t="s">
        <v>238</v>
      </c>
      <c r="M3" s="109"/>
      <c r="N3" s="90"/>
    </row>
    <row r="4" spans="1:14">
      <c r="A4" s="28" t="s">
        <v>202</v>
      </c>
      <c r="B4" t="s">
        <v>203</v>
      </c>
      <c r="C4" s="109" t="s">
        <v>211</v>
      </c>
      <c r="D4" s="109"/>
      <c r="E4" s="57">
        <f>'BrewHouse Setup'!B13</f>
        <v>5.8125</v>
      </c>
      <c r="F4" s="26" t="s">
        <v>0</v>
      </c>
      <c r="G4" s="26" t="s">
        <v>232</v>
      </c>
      <c r="H4" s="89"/>
      <c r="I4" s="110"/>
      <c r="J4" s="110"/>
      <c r="K4" s="69"/>
      <c r="M4" s="67" t="s">
        <v>233</v>
      </c>
      <c r="N4" s="76" t="e">
        <f>(N2-N3)*(46.0688/44.0098)/N3/0.794</f>
        <v>#DIV/0!</v>
      </c>
    </row>
    <row r="5" spans="1:14">
      <c r="C5" s="109" t="s">
        <v>208</v>
      </c>
      <c r="D5" s="109"/>
      <c r="E5" s="81">
        <f>'BrewHouse Setup'!B5</f>
        <v>0.72</v>
      </c>
      <c r="F5" s="26"/>
      <c r="G5" s="26" t="s">
        <v>232</v>
      </c>
      <c r="H5" s="76">
        <f>'Grain Bill Calcs'!J14</f>
        <v>-14.195006052631602</v>
      </c>
    </row>
    <row r="6" spans="1:14">
      <c r="B6" s="26"/>
    </row>
    <row r="7" spans="1:14">
      <c r="B7" s="111" t="s">
        <v>198</v>
      </c>
      <c r="C7" s="111"/>
      <c r="D7" s="111"/>
      <c r="G7" s="113" t="s">
        <v>207</v>
      </c>
      <c r="H7" s="114"/>
      <c r="I7" s="114"/>
      <c r="J7" s="114"/>
      <c r="K7" s="114"/>
      <c r="L7" s="115"/>
    </row>
    <row r="8" spans="1:14" s="32" customFormat="1" ht="30" customHeight="1">
      <c r="B8" s="61" t="s">
        <v>95</v>
      </c>
      <c r="C8" s="61" t="s">
        <v>96</v>
      </c>
      <c r="D8" s="61" t="s">
        <v>131</v>
      </c>
      <c r="G8" s="61" t="str">
        <f>'Hops Calcs'!B6</f>
        <v>Time (min)</v>
      </c>
      <c r="H8" s="61" t="str">
        <f>'Hops Calcs'!C6</f>
        <v>Type</v>
      </c>
      <c r="I8" s="61" t="str">
        <f>'Hops Calcs'!D6</f>
        <v>Species</v>
      </c>
      <c r="J8" s="61" t="str">
        <f>'Hops Calcs'!E6</f>
        <v>Alpha (%)</v>
      </c>
      <c r="K8" s="61" t="str">
        <f>'Hops Calcs'!F6</f>
        <v>Qty (oz)</v>
      </c>
      <c r="L8" s="61" t="s">
        <v>93</v>
      </c>
    </row>
    <row r="9" spans="1:14">
      <c r="B9" s="86" t="str">
        <f>'Grain Bill Calcs'!B5</f>
        <v>Pale Malt - 2 Row (Cargill)</v>
      </c>
      <c r="C9" s="85">
        <f>'Grain Bill Calcs'!F5</f>
        <v>10</v>
      </c>
      <c r="D9" s="87">
        <f>'Grain Bill Calcs'!G5</f>
        <v>0.76923076923076927</v>
      </c>
      <c r="G9" s="82" t="str">
        <f>'Hops Calcs'!B7</f>
        <v>FWH</v>
      </c>
      <c r="H9" s="82" t="str">
        <f>'Hops Calcs'!C7</f>
        <v>Pellet</v>
      </c>
      <c r="I9" s="82" t="str">
        <f>'Hops Calcs'!D7</f>
        <v>Centennial</v>
      </c>
      <c r="J9" s="83">
        <f>'Hops Calcs'!E7</f>
        <v>9.1999999999999993</v>
      </c>
      <c r="K9" s="84">
        <f>'Hops Calcs'!F7</f>
        <v>0.5</v>
      </c>
      <c r="L9" s="85">
        <f>'Hops Calcs'!I7</f>
        <v>16.422676869362448</v>
      </c>
    </row>
    <row r="10" spans="1:14">
      <c r="B10" s="86" t="str">
        <f>'Grain Bill Calcs'!B6</f>
        <v>Vienna Malt (Briess)</v>
      </c>
      <c r="C10" s="85">
        <f>'Grain Bill Calcs'!F6</f>
        <v>2</v>
      </c>
      <c r="D10" s="87">
        <f>'Grain Bill Calcs'!G6</f>
        <v>0.15384615384615385</v>
      </c>
      <c r="G10" s="82">
        <f>'Hops Calcs'!B8</f>
        <v>60</v>
      </c>
      <c r="H10" s="82" t="str">
        <f>'Hops Calcs'!C8</f>
        <v>Pellet</v>
      </c>
      <c r="I10" s="82" t="str">
        <f>'Hops Calcs'!D8</f>
        <v>Centennial</v>
      </c>
      <c r="J10" s="83">
        <f>'Hops Calcs'!E8</f>
        <v>9.1999999999999993</v>
      </c>
      <c r="K10" s="84">
        <f>'Hops Calcs'!F8</f>
        <v>0.5</v>
      </c>
      <c r="L10" s="85">
        <f>'Hops Calcs'!I8</f>
        <v>14.405656891073674</v>
      </c>
    </row>
    <row r="11" spans="1:14">
      <c r="B11" s="86" t="str">
        <f>'Grain Bill Calcs'!B7</f>
        <v>Caramel Malt - 20L (Cargill)</v>
      </c>
      <c r="C11" s="85">
        <f>'Grain Bill Calcs'!F7</f>
        <v>0.5</v>
      </c>
      <c r="D11" s="87">
        <f>'Grain Bill Calcs'!G7</f>
        <v>3.8461538461538464E-2</v>
      </c>
      <c r="G11" s="82">
        <f>'Hops Calcs'!B9</f>
        <v>45</v>
      </c>
      <c r="H11" s="82" t="str">
        <f>'Hops Calcs'!C9</f>
        <v>Pellet</v>
      </c>
      <c r="I11" s="82" t="str">
        <f>'Hops Calcs'!D9</f>
        <v>Centennial</v>
      </c>
      <c r="J11" s="83">
        <f>'Hops Calcs'!E9</f>
        <v>9.1999999999999993</v>
      </c>
      <c r="K11" s="84">
        <f>'Hops Calcs'!F9</f>
        <v>0.5</v>
      </c>
      <c r="L11" s="85">
        <f>'Hops Calcs'!I9</f>
        <v>13.224079224237416</v>
      </c>
    </row>
    <row r="12" spans="1:14">
      <c r="B12" s="86" t="str">
        <f>'Grain Bill Calcs'!B8</f>
        <v>Carapils (Briess)</v>
      </c>
      <c r="C12" s="85">
        <f>'Grain Bill Calcs'!F8</f>
        <v>0.5</v>
      </c>
      <c r="D12" s="87">
        <f>'Grain Bill Calcs'!G8</f>
        <v>3.8461538461538464E-2</v>
      </c>
      <c r="G12" s="82">
        <f>'Hops Calcs'!B10</f>
        <v>30</v>
      </c>
      <c r="H12" s="82" t="str">
        <f>'Hops Calcs'!C10</f>
        <v>Pellet</v>
      </c>
      <c r="I12" s="82" t="str">
        <f>'Hops Calcs'!D10</f>
        <v>Centennial</v>
      </c>
      <c r="J12" s="83">
        <f>'Hops Calcs'!E10</f>
        <v>9.1999999999999993</v>
      </c>
      <c r="K12" s="84">
        <f>'Hops Calcs'!F10</f>
        <v>0.5</v>
      </c>
      <c r="L12" s="85">
        <f>'Hops Calcs'!I10</f>
        <v>11.071104343373523</v>
      </c>
    </row>
    <row r="13" spans="1:14">
      <c r="B13" s="86">
        <f>'Grain Bill Calcs'!B9</f>
        <v>0</v>
      </c>
      <c r="C13" s="85">
        <f>'Grain Bill Calcs'!F9</f>
        <v>0</v>
      </c>
      <c r="D13" s="87">
        <f>'Grain Bill Calcs'!G9</f>
        <v>0</v>
      </c>
      <c r="G13" s="82">
        <f>'Hops Calcs'!B11</f>
        <v>15</v>
      </c>
      <c r="H13" s="82" t="str">
        <f>'Hops Calcs'!C11</f>
        <v>Pellet</v>
      </c>
      <c r="I13" s="82" t="str">
        <f>'Hops Calcs'!D11</f>
        <v>Centennial</v>
      </c>
      <c r="J13" s="83">
        <f>'Hops Calcs'!E11</f>
        <v>9.1999999999999993</v>
      </c>
      <c r="K13" s="84">
        <f>'Hops Calcs'!F11</f>
        <v>0.5</v>
      </c>
      <c r="L13" s="85">
        <f>'Hops Calcs'!I11</f>
        <v>7.1481283361829124</v>
      </c>
    </row>
    <row r="14" spans="1:14">
      <c r="B14" s="86">
        <f>'Grain Bill Calcs'!B10</f>
        <v>0</v>
      </c>
      <c r="C14" s="85">
        <f>'Grain Bill Calcs'!F10</f>
        <v>0</v>
      </c>
      <c r="D14" s="87">
        <f>'Grain Bill Calcs'!G10</f>
        <v>0</v>
      </c>
      <c r="G14" s="82">
        <f>'Hops Calcs'!B12</f>
        <v>0</v>
      </c>
      <c r="H14" s="82" t="str">
        <f>'Hops Calcs'!C12</f>
        <v>Pellet</v>
      </c>
      <c r="I14" s="82" t="str">
        <f>'Hops Calcs'!D12</f>
        <v>Centennial</v>
      </c>
      <c r="J14" s="83">
        <f>'Hops Calcs'!E12</f>
        <v>9.1999999999999993</v>
      </c>
      <c r="K14" s="84">
        <f>'Hops Calcs'!F12</f>
        <v>0.5</v>
      </c>
      <c r="L14" s="85">
        <f>'Hops Calcs'!I12</f>
        <v>0</v>
      </c>
    </row>
    <row r="15" spans="1:14">
      <c r="B15" s="86">
        <f>'Grain Bill Calcs'!B11</f>
        <v>0</v>
      </c>
      <c r="C15" s="85">
        <f>'Grain Bill Calcs'!F11</f>
        <v>0</v>
      </c>
      <c r="D15" s="87">
        <f>'Grain Bill Calcs'!G11</f>
        <v>0</v>
      </c>
      <c r="G15" s="82" t="str">
        <f>'Hops Calcs'!B13</f>
        <v>Dry Hop</v>
      </c>
      <c r="H15" s="82" t="str">
        <f>'Hops Calcs'!C13</f>
        <v>Leaf</v>
      </c>
      <c r="I15" s="82" t="str">
        <f>'Hops Calcs'!D13</f>
        <v>Centennial</v>
      </c>
      <c r="J15" s="83">
        <f>'Hops Calcs'!E13</f>
        <v>9.1999999999999993</v>
      </c>
      <c r="K15" s="84">
        <f>'Hops Calcs'!F13</f>
        <v>0</v>
      </c>
      <c r="L15" s="85">
        <f>'Hops Calcs'!I13</f>
        <v>0</v>
      </c>
    </row>
    <row r="16" spans="1:14">
      <c r="C16" s="85">
        <f>'Grain Bill Calcs'!$F$12</f>
        <v>13</v>
      </c>
      <c r="L16" s="85">
        <f>'Hops Calcs'!$I$14</f>
        <v>62.271645664229972</v>
      </c>
    </row>
    <row r="18" spans="2:12">
      <c r="B18" s="111" t="s">
        <v>218</v>
      </c>
      <c r="C18" s="111"/>
      <c r="D18" s="111"/>
      <c r="G18" s="117" t="s">
        <v>231</v>
      </c>
      <c r="H18" s="117"/>
      <c r="I18" s="117"/>
      <c r="J18" s="117"/>
      <c r="K18" s="117"/>
      <c r="L18" s="117"/>
    </row>
    <row r="19" spans="2:12">
      <c r="B19" s="62" t="s">
        <v>221</v>
      </c>
      <c r="C19" s="62" t="s">
        <v>129</v>
      </c>
      <c r="D19" s="62" t="s">
        <v>122</v>
      </c>
      <c r="G19" s="68" t="s">
        <v>223</v>
      </c>
      <c r="H19" s="111" t="s">
        <v>220</v>
      </c>
      <c r="I19" s="111"/>
      <c r="J19" s="111"/>
      <c r="K19" s="111" t="s">
        <v>199</v>
      </c>
      <c r="L19" s="111"/>
    </row>
    <row r="20" spans="2:12">
      <c r="B20" s="1" t="str">
        <f>'Mash Calcs'!A4</f>
        <v>Ambient Grain Temp</v>
      </c>
      <c r="C20" s="86">
        <f>'Mash Calcs'!B4</f>
        <v>68</v>
      </c>
      <c r="D20" s="64" t="str">
        <f>'Mash Calcs'!C4</f>
        <v>°F</v>
      </c>
      <c r="G20" s="91" t="s">
        <v>224</v>
      </c>
      <c r="H20" s="112" t="s">
        <v>225</v>
      </c>
      <c r="I20" s="112"/>
      <c r="J20" s="112"/>
      <c r="K20" s="118" t="s">
        <v>222</v>
      </c>
      <c r="L20" s="116"/>
    </row>
    <row r="21" spans="2:12">
      <c r="B21" s="1" t="str">
        <f>'Mash Calcs'!A5</f>
        <v>Mash Temp</v>
      </c>
      <c r="C21" s="86">
        <f>'Mash Calcs'!B5</f>
        <v>154</v>
      </c>
      <c r="D21" s="64" t="str">
        <f>'Mash Calcs'!C5</f>
        <v>°F</v>
      </c>
      <c r="E21" s="89"/>
      <c r="G21" s="91" t="s">
        <v>229</v>
      </c>
      <c r="H21" s="112" t="s">
        <v>227</v>
      </c>
      <c r="I21" s="112"/>
      <c r="J21" s="112"/>
      <c r="K21" s="118" t="s">
        <v>228</v>
      </c>
      <c r="L21" s="116"/>
    </row>
    <row r="22" spans="2:12">
      <c r="B22" s="1" t="str">
        <f>'Mash Calcs'!A6</f>
        <v>Water/Grist Ratio</v>
      </c>
      <c r="C22" s="86">
        <f>'Mash Calcs'!B6</f>
        <v>1.375</v>
      </c>
      <c r="D22" s="64" t="str">
        <f>'Mash Calcs'!C6</f>
        <v>qt/lb</v>
      </c>
      <c r="G22" s="91" t="s">
        <v>226</v>
      </c>
      <c r="H22" s="112" t="s">
        <v>73</v>
      </c>
      <c r="I22" s="112"/>
      <c r="J22" s="112"/>
      <c r="K22" s="116"/>
      <c r="L22" s="116"/>
    </row>
    <row r="23" spans="2:12">
      <c r="B23" s="1" t="str">
        <f>'Mash Calcs'!A9</f>
        <v>Strike Water to Add</v>
      </c>
      <c r="C23" s="86">
        <f>'Mash Calcs'!B9</f>
        <v>17.875</v>
      </c>
      <c r="D23" s="64" t="str">
        <f>'Mash Calcs'!C9</f>
        <v>qt</v>
      </c>
      <c r="G23" s="89"/>
      <c r="H23" s="112" t="s">
        <v>230</v>
      </c>
      <c r="I23" s="112"/>
      <c r="J23" s="112"/>
      <c r="K23" s="116"/>
      <c r="L23" s="116"/>
    </row>
    <row r="24" spans="2:12">
      <c r="B24" s="1" t="str">
        <f>'Mash Calcs'!A10</f>
        <v>Strike Water Temp</v>
      </c>
      <c r="C24" s="88">
        <f>'Mash Calcs'!B10</f>
        <v>166.5090909090909</v>
      </c>
      <c r="D24" s="64" t="str">
        <f>'Mash Calcs'!C10</f>
        <v>°F</v>
      </c>
      <c r="E24" s="89"/>
      <c r="G24" s="89"/>
      <c r="H24" s="112"/>
      <c r="I24" s="112"/>
      <c r="J24" s="112"/>
      <c r="K24" s="116"/>
      <c r="L24" s="116"/>
    </row>
    <row r="25" spans="2:12">
      <c r="B25" s="18" t="s">
        <v>217</v>
      </c>
      <c r="C25" s="86">
        <f>'Mash Calcs'!$B$18</f>
        <v>2</v>
      </c>
      <c r="D25" s="64"/>
      <c r="G25" s="89"/>
      <c r="H25" s="112"/>
      <c r="I25" s="112"/>
      <c r="J25" s="112"/>
      <c r="K25" s="116"/>
      <c r="L25" s="116"/>
    </row>
    <row r="26" spans="2:12">
      <c r="B26" s="1" t="str">
        <f>'Mash Calcs'!A21</f>
        <v>Add for 1st step</v>
      </c>
      <c r="C26" s="85">
        <f>'Mash Calcs'!B21</f>
        <v>2.7352557500000003</v>
      </c>
      <c r="D26" s="64" t="str">
        <f>'Mash Calcs'!C21</f>
        <v>qt</v>
      </c>
    </row>
    <row r="27" spans="2:12">
      <c r="B27" s="1" t="str">
        <f>'Mash Calcs'!A22</f>
        <v>Drain for 1st step</v>
      </c>
      <c r="C27" s="85">
        <f>'Mash Calcs'!B22</f>
        <v>14.11025575</v>
      </c>
      <c r="D27" s="64" t="str">
        <f>'Mash Calcs'!C22</f>
        <v>qt</v>
      </c>
    </row>
    <row r="28" spans="2:12">
      <c r="B28" s="1" t="str">
        <f>'Mash Calcs'!A23</f>
        <v>Add for 2nd step</v>
      </c>
      <c r="C28" s="85">
        <f>'Mash Calcs'!B23</f>
        <v>14.11025575</v>
      </c>
      <c r="D28" s="64" t="str">
        <f>'Mash Calcs'!C23</f>
        <v>qt</v>
      </c>
    </row>
    <row r="29" spans="2:12">
      <c r="B29" s="1" t="str">
        <f>'Mash Calcs'!A24</f>
        <v>Add for 3rd step</v>
      </c>
      <c r="C29" s="86">
        <f>'Mash Calcs'!B24</f>
        <v>0</v>
      </c>
      <c r="D29" s="64" t="str">
        <f>'Mash Calcs'!C24</f>
        <v>qt</v>
      </c>
    </row>
    <row r="31" spans="2:12">
      <c r="B31" s="107" t="s">
        <v>243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8"/>
    </row>
    <row r="32" spans="2:12"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</row>
    <row r="33" spans="2:12"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</row>
    <row r="34" spans="2:12"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</row>
    <row r="35" spans="2:12"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</row>
  </sheetData>
  <sheetProtection sheet="1" objects="1" scenarios="1"/>
  <mergeCells count="31">
    <mergeCell ref="K25:L25"/>
    <mergeCell ref="I1:J1"/>
    <mergeCell ref="I2:J2"/>
    <mergeCell ref="I3:J3"/>
    <mergeCell ref="H21:J21"/>
    <mergeCell ref="H22:J22"/>
    <mergeCell ref="G18:L18"/>
    <mergeCell ref="H23:J23"/>
    <mergeCell ref="K23:L23"/>
    <mergeCell ref="H24:J24"/>
    <mergeCell ref="K24:L24"/>
    <mergeCell ref="K19:L19"/>
    <mergeCell ref="K20:L20"/>
    <mergeCell ref="K21:L21"/>
    <mergeCell ref="K22:L22"/>
    <mergeCell ref="B31:L35"/>
    <mergeCell ref="L1:M1"/>
    <mergeCell ref="L2:M2"/>
    <mergeCell ref="L3:M3"/>
    <mergeCell ref="C1:D1"/>
    <mergeCell ref="C2:D2"/>
    <mergeCell ref="C3:D3"/>
    <mergeCell ref="C4:D4"/>
    <mergeCell ref="I4:J4"/>
    <mergeCell ref="H19:J19"/>
    <mergeCell ref="H20:J20"/>
    <mergeCell ref="B18:D18"/>
    <mergeCell ref="C5:D5"/>
    <mergeCell ref="B7:D7"/>
    <mergeCell ref="G7:L7"/>
    <mergeCell ref="H25:J25"/>
  </mergeCells>
  <printOptions horizontalCentered="1"/>
  <pageMargins left="0.5" right="0.5" top="0.75" bottom="0.75" header="0.3" footer="0.3"/>
  <pageSetup orientation="landscape" r:id="rId1"/>
  <headerFooter>
    <oddHeader>&amp;L&amp;20&amp;F</oddHeader>
    <oddFooter>&amp;CCourtesy of
&amp;"Arial,Bold"&amp;12BEER-N-BBQ by Larry&amp;"Arial,Regular"&amp;10
YouTube Channel
https://www.youtube.com/user/BEERNBBQBYLARRY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workbookViewId="0">
      <selection activeCell="B13" sqref="B13 B7:B8"/>
    </sheetView>
  </sheetViews>
  <sheetFormatPr defaultRowHeight="13.2"/>
  <cols>
    <col min="1" max="1" width="19.6640625" bestFit="1" customWidth="1"/>
    <col min="2" max="2" width="9.5546875" style="44" bestFit="1" customWidth="1"/>
    <col min="3" max="3" width="5.5546875" style="44" bestFit="1" customWidth="1"/>
    <col min="4" max="4" width="54.33203125" bestFit="1" customWidth="1"/>
  </cols>
  <sheetData>
    <row r="1" spans="1:4">
      <c r="A1" s="42" t="s">
        <v>130</v>
      </c>
      <c r="B1" s="42" t="s">
        <v>129</v>
      </c>
      <c r="C1" s="42" t="s">
        <v>122</v>
      </c>
      <c r="D1" s="42" t="s">
        <v>71</v>
      </c>
    </row>
    <row r="2" spans="1:4">
      <c r="A2" s="48" t="s">
        <v>134</v>
      </c>
      <c r="B2" s="92">
        <v>7</v>
      </c>
      <c r="C2" s="43" t="s">
        <v>0</v>
      </c>
      <c r="D2" s="1" t="s">
        <v>135</v>
      </c>
    </row>
    <row r="3" spans="1:4">
      <c r="A3" s="48" t="s">
        <v>183</v>
      </c>
      <c r="B3" s="93">
        <v>0.95</v>
      </c>
      <c r="C3" s="46" t="s">
        <v>131</v>
      </c>
      <c r="D3" s="1" t="s">
        <v>182</v>
      </c>
    </row>
    <row r="4" spans="1:4">
      <c r="A4" s="18" t="s">
        <v>141</v>
      </c>
      <c r="B4" s="92">
        <v>8</v>
      </c>
      <c r="C4" s="43" t="s">
        <v>0</v>
      </c>
      <c r="D4" s="18" t="s">
        <v>142</v>
      </c>
    </row>
    <row r="5" spans="1:4">
      <c r="A5" s="49" t="s">
        <v>106</v>
      </c>
      <c r="B5" s="94">
        <v>0.72</v>
      </c>
      <c r="C5" s="43" t="s">
        <v>131</v>
      </c>
      <c r="D5" s="1" t="s">
        <v>136</v>
      </c>
    </row>
    <row r="6" spans="1:4">
      <c r="A6" s="18" t="s">
        <v>144</v>
      </c>
      <c r="B6" s="95">
        <v>75</v>
      </c>
      <c r="C6" s="19" t="s">
        <v>145</v>
      </c>
      <c r="D6" s="50" t="s">
        <v>146</v>
      </c>
    </row>
    <row r="7" spans="1:4">
      <c r="A7" s="18" t="s">
        <v>153</v>
      </c>
      <c r="B7" s="96">
        <v>210.6</v>
      </c>
      <c r="C7" s="19" t="s">
        <v>161</v>
      </c>
      <c r="D7" s="50" t="s">
        <v>152</v>
      </c>
    </row>
    <row r="8" spans="1:4">
      <c r="A8" s="18" t="s">
        <v>154</v>
      </c>
      <c r="B8" s="96">
        <v>75</v>
      </c>
      <c r="C8" s="19" t="s">
        <v>161</v>
      </c>
      <c r="D8" s="50" t="s">
        <v>155</v>
      </c>
    </row>
    <row r="9" spans="1:4">
      <c r="A9" s="18" t="s">
        <v>137</v>
      </c>
      <c r="B9" s="97">
        <v>5.25</v>
      </c>
      <c r="C9" s="19" t="s">
        <v>0</v>
      </c>
      <c r="D9" s="50" t="s">
        <v>157</v>
      </c>
    </row>
    <row r="10" spans="1:4">
      <c r="A10" s="50" t="s">
        <v>149</v>
      </c>
      <c r="B10" s="97">
        <v>0.3125</v>
      </c>
      <c r="C10" s="19" t="s">
        <v>0</v>
      </c>
      <c r="D10" s="18" t="s">
        <v>148</v>
      </c>
    </row>
    <row r="11" spans="1:4">
      <c r="A11" s="50" t="s">
        <v>143</v>
      </c>
      <c r="B11" s="97">
        <v>0.3125</v>
      </c>
      <c r="C11" s="19" t="s">
        <v>0</v>
      </c>
      <c r="D11" s="18" t="s">
        <v>158</v>
      </c>
    </row>
    <row r="12" spans="1:4">
      <c r="A12" s="50" t="s">
        <v>147</v>
      </c>
      <c r="B12" s="97">
        <v>0.25</v>
      </c>
      <c r="C12" s="19" t="s">
        <v>0</v>
      </c>
      <c r="D12" s="50" t="s">
        <v>159</v>
      </c>
    </row>
    <row r="13" spans="1:4">
      <c r="A13" s="18" t="s">
        <v>133</v>
      </c>
      <c r="B13" s="33">
        <f>B9+B11+B12</f>
        <v>5.8125</v>
      </c>
      <c r="C13" s="19" t="s">
        <v>0</v>
      </c>
      <c r="D13" s="50" t="s">
        <v>151</v>
      </c>
    </row>
    <row r="14" spans="1:4">
      <c r="A14" s="18" t="s">
        <v>138</v>
      </c>
      <c r="B14" s="98">
        <v>0.115</v>
      </c>
      <c r="C14" s="19" t="s">
        <v>139</v>
      </c>
      <c r="D14" s="50" t="s">
        <v>140</v>
      </c>
    </row>
    <row r="15" spans="1:4">
      <c r="A15" s="18" t="s">
        <v>162</v>
      </c>
      <c r="B15" s="51">
        <f>B13*B6/60*B14</f>
        <v>0.83554687500000002</v>
      </c>
      <c r="C15" s="19" t="s">
        <v>0</v>
      </c>
      <c r="D15" s="50" t="s">
        <v>160</v>
      </c>
    </row>
    <row r="16" spans="1:4">
      <c r="A16" s="18" t="s">
        <v>163</v>
      </c>
      <c r="B16" s="33">
        <f>B13*(B7-B8)*0.00012</f>
        <v>9.4580999999999998E-2</v>
      </c>
      <c r="C16" s="19" t="s">
        <v>0</v>
      </c>
      <c r="D16" s="50" t="s">
        <v>156</v>
      </c>
    </row>
    <row r="17" spans="1:4">
      <c r="A17" s="18" t="s">
        <v>132</v>
      </c>
      <c r="B17" s="33">
        <f>B13+B15+B16</f>
        <v>6.7426278750000002</v>
      </c>
      <c r="C17" s="19" t="s">
        <v>0</v>
      </c>
      <c r="D17" s="50" t="s">
        <v>150</v>
      </c>
    </row>
    <row r="19" spans="1:4">
      <c r="A19" t="s">
        <v>246</v>
      </c>
    </row>
    <row r="20" spans="1:4">
      <c r="A20" s="106" t="s">
        <v>247</v>
      </c>
    </row>
  </sheetData>
  <sheetProtection sheet="1" objects="1" scenarios="1"/>
  <hyperlinks>
    <hyperlink ref="A20" r:id="rId1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L15"/>
  <sheetViews>
    <sheetView topLeftCell="B1" workbookViewId="0">
      <selection activeCell="J13" sqref="J13:K13"/>
    </sheetView>
  </sheetViews>
  <sheetFormatPr defaultRowHeight="13.2"/>
  <cols>
    <col min="1" max="1" width="5.77734375" customWidth="1"/>
    <col min="2" max="2" width="23.44140625" customWidth="1"/>
    <col min="3" max="3" width="7.21875" customWidth="1"/>
    <col min="4" max="4" width="9.5546875" customWidth="1"/>
    <col min="5" max="5" width="4.88671875" bestFit="1" customWidth="1"/>
    <col min="6" max="6" width="7.5546875" customWidth="1"/>
    <col min="7" max="7" width="6.5546875" style="36" customWidth="1"/>
    <col min="8" max="8" width="8.6640625" customWidth="1"/>
    <col min="9" max="9" width="7.88671875" customWidth="1"/>
    <col min="10" max="10" width="9" customWidth="1"/>
    <col min="11" max="11" width="9.44140625" customWidth="1"/>
  </cols>
  <sheetData>
    <row r="1" spans="2:12">
      <c r="B1" s="38"/>
      <c r="D1" s="40"/>
      <c r="E1" s="40"/>
      <c r="F1" s="38"/>
      <c r="G1" s="39"/>
      <c r="H1" s="38"/>
      <c r="I1" s="38"/>
      <c r="J1" s="38"/>
      <c r="K1" s="38"/>
    </row>
    <row r="2" spans="2:12">
      <c r="B2" s="111" t="s">
        <v>116</v>
      </c>
      <c r="C2" s="111"/>
      <c r="D2" s="111"/>
      <c r="E2" s="111"/>
      <c r="F2" s="111"/>
      <c r="G2" s="111"/>
      <c r="H2" s="111"/>
      <c r="I2" s="111"/>
      <c r="J2" s="111"/>
      <c r="K2" s="111"/>
    </row>
    <row r="3" spans="2:12">
      <c r="B3" s="53" t="s">
        <v>165</v>
      </c>
      <c r="C3" s="30">
        <f>'BrewHouse Setup'!B17</f>
        <v>6.7426278750000002</v>
      </c>
      <c r="D3" s="26" t="s">
        <v>0</v>
      </c>
      <c r="E3" s="119" t="s">
        <v>166</v>
      </c>
      <c r="F3" s="120"/>
      <c r="G3" s="30">
        <f>'BrewHouse Setup'!B13</f>
        <v>5.8125</v>
      </c>
      <c r="H3" s="26" t="s">
        <v>0</v>
      </c>
      <c r="I3" s="119" t="s">
        <v>167</v>
      </c>
      <c r="J3" s="120"/>
      <c r="K3" s="54">
        <f>'BrewHouse Setup'!B5</f>
        <v>0.72</v>
      </c>
    </row>
    <row r="4" spans="2:12" s="32" customFormat="1" ht="46.2" customHeight="1">
      <c r="B4" s="27" t="s">
        <v>103</v>
      </c>
      <c r="C4" s="27" t="s">
        <v>70</v>
      </c>
      <c r="D4" s="34" t="s">
        <v>115</v>
      </c>
      <c r="E4" s="41" t="s">
        <v>164</v>
      </c>
      <c r="F4" s="27" t="s">
        <v>96</v>
      </c>
      <c r="G4" s="37" t="s">
        <v>105</v>
      </c>
      <c r="H4" s="41" t="s">
        <v>168</v>
      </c>
      <c r="I4" s="34" t="s">
        <v>109</v>
      </c>
      <c r="J4" s="34" t="s">
        <v>117</v>
      </c>
      <c r="K4" s="34" t="s">
        <v>118</v>
      </c>
    </row>
    <row r="5" spans="2:12">
      <c r="B5" s="99" t="s">
        <v>173</v>
      </c>
      <c r="C5" s="99" t="s">
        <v>95</v>
      </c>
      <c r="D5" s="97">
        <v>1.0369999999999999</v>
      </c>
      <c r="E5" s="31">
        <f>(D5-1)*1000</f>
        <v>36.999999999999922</v>
      </c>
      <c r="F5" s="100">
        <v>10</v>
      </c>
      <c r="G5" s="71">
        <f t="shared" ref="G5:G11" si="0">F5/$F$12</f>
        <v>0.76923076923076927</v>
      </c>
      <c r="H5" s="45">
        <f>E5*F5/'BrewHouse Setup'!$B$17</f>
        <v>54.874747184531401</v>
      </c>
      <c r="I5" s="72">
        <f>IF(C5="Grain",$K$3,IF(C5="Extract",1,))</f>
        <v>0.72</v>
      </c>
      <c r="J5" s="45">
        <f>(D5-1)*1000*F5*I5/$C$3</f>
        <v>39.509817972862606</v>
      </c>
      <c r="K5" s="45">
        <f>(D5-1)*1000*F5*I5/$G$3</f>
        <v>45.832258064516026</v>
      </c>
    </row>
    <row r="6" spans="2:12">
      <c r="B6" s="99" t="s">
        <v>174</v>
      </c>
      <c r="C6" s="99" t="s">
        <v>95</v>
      </c>
      <c r="D6" s="97">
        <v>1.036</v>
      </c>
      <c r="E6" s="31">
        <f t="shared" ref="E6:E7" si="1">(D6-1)*1000</f>
        <v>36.000000000000028</v>
      </c>
      <c r="F6" s="100">
        <v>2</v>
      </c>
      <c r="G6" s="71">
        <f t="shared" si="0"/>
        <v>0.15384615384615385</v>
      </c>
      <c r="H6" s="45">
        <f>E6*F6/'BrewHouse Setup'!$B$17</f>
        <v>10.678329181854791</v>
      </c>
      <c r="I6" s="72">
        <f t="shared" ref="I6:I11" si="2">IF(C6="Grain",$K$3,IF(C6="Extract",1,))</f>
        <v>0.72</v>
      </c>
      <c r="J6" s="45">
        <f t="shared" ref="J6:J11" si="3">(D6-1)*1000*F6*I6/$C$3</f>
        <v>7.6883970109354491</v>
      </c>
      <c r="K6" s="45">
        <f t="shared" ref="K6:K11" si="4">(D6-1)*1000*F6*I6/$G$3</f>
        <v>8.9187096774193613</v>
      </c>
    </row>
    <row r="7" spans="2:12">
      <c r="B7" s="99" t="s">
        <v>175</v>
      </c>
      <c r="C7" s="99" t="s">
        <v>95</v>
      </c>
      <c r="D7" s="97">
        <v>1.032</v>
      </c>
      <c r="E7" s="31">
        <f t="shared" si="1"/>
        <v>32.000000000000028</v>
      </c>
      <c r="F7" s="100">
        <v>0.5</v>
      </c>
      <c r="G7" s="71">
        <f t="shared" si="0"/>
        <v>3.8461538461538464E-2</v>
      </c>
      <c r="H7" s="45">
        <f>E7*F7/'BrewHouse Setup'!$B$17</f>
        <v>2.3729620404121761</v>
      </c>
      <c r="I7" s="72">
        <f t="shared" si="2"/>
        <v>0.72</v>
      </c>
      <c r="J7" s="45">
        <f t="shared" si="3"/>
        <v>1.7085326690967666</v>
      </c>
      <c r="K7" s="45">
        <f t="shared" si="4"/>
        <v>1.9819354838709695</v>
      </c>
    </row>
    <row r="8" spans="2:12">
      <c r="B8" s="99" t="s">
        <v>176</v>
      </c>
      <c r="C8" s="99" t="s">
        <v>95</v>
      </c>
      <c r="D8" s="97">
        <v>1.034</v>
      </c>
      <c r="E8" s="31">
        <f>(D8-1)*1000</f>
        <v>34.000000000000028</v>
      </c>
      <c r="F8" s="100">
        <v>0.5</v>
      </c>
      <c r="G8" s="71">
        <f t="shared" si="0"/>
        <v>3.8461538461538464E-2</v>
      </c>
      <c r="H8" s="45">
        <f>E8*F8/'BrewHouse Setup'!$B$17</f>
        <v>2.5212721679379366</v>
      </c>
      <c r="I8" s="72">
        <f t="shared" si="2"/>
        <v>0.72</v>
      </c>
      <c r="J8" s="45">
        <f t="shared" si="3"/>
        <v>1.8153159609153142</v>
      </c>
      <c r="K8" s="45">
        <f t="shared" si="4"/>
        <v>2.1058064516129047</v>
      </c>
    </row>
    <row r="9" spans="2:12">
      <c r="B9" s="97"/>
      <c r="C9" s="99" t="s">
        <v>95</v>
      </c>
      <c r="D9" s="97">
        <v>1.0369999999999999</v>
      </c>
      <c r="E9" s="31">
        <f>(D9-1)*1000</f>
        <v>36.999999999999922</v>
      </c>
      <c r="F9" s="100">
        <v>0</v>
      </c>
      <c r="G9" s="71">
        <f t="shared" si="0"/>
        <v>0</v>
      </c>
      <c r="H9" s="45">
        <f>E9*F9/'BrewHouse Setup'!$B$17</f>
        <v>0</v>
      </c>
      <c r="I9" s="72">
        <f t="shared" si="2"/>
        <v>0.72</v>
      </c>
      <c r="J9" s="45">
        <f t="shared" si="3"/>
        <v>0</v>
      </c>
      <c r="K9" s="45">
        <f t="shared" si="4"/>
        <v>0</v>
      </c>
    </row>
    <row r="10" spans="2:12">
      <c r="B10" s="97"/>
      <c r="C10" s="99" t="s">
        <v>95</v>
      </c>
      <c r="D10" s="97">
        <v>1.0369999999999999</v>
      </c>
      <c r="E10" s="31">
        <f>(D10-1)*1000</f>
        <v>36.999999999999922</v>
      </c>
      <c r="F10" s="100">
        <v>0</v>
      </c>
      <c r="G10" s="71">
        <f t="shared" si="0"/>
        <v>0</v>
      </c>
      <c r="H10" s="45">
        <f>E10*F10/'BrewHouse Setup'!$B$17</f>
        <v>0</v>
      </c>
      <c r="I10" s="72">
        <f t="shared" si="2"/>
        <v>0.72</v>
      </c>
      <c r="J10" s="45">
        <f t="shared" si="3"/>
        <v>0</v>
      </c>
      <c r="K10" s="45">
        <f t="shared" si="4"/>
        <v>0</v>
      </c>
    </row>
    <row r="11" spans="2:12">
      <c r="B11" s="97"/>
      <c r="C11" s="99" t="s">
        <v>107</v>
      </c>
      <c r="D11" s="97">
        <v>1.042</v>
      </c>
      <c r="E11" s="31">
        <f>(D11-1)*1000</f>
        <v>42.000000000000036</v>
      </c>
      <c r="F11" s="100"/>
      <c r="G11" s="71">
        <f t="shared" si="0"/>
        <v>0</v>
      </c>
      <c r="H11" s="45">
        <f>E11*F11/'BrewHouse Setup'!$B$17</f>
        <v>0</v>
      </c>
      <c r="I11" s="72">
        <f t="shared" si="2"/>
        <v>1</v>
      </c>
      <c r="J11" s="45">
        <f t="shared" si="3"/>
        <v>0</v>
      </c>
      <c r="K11" s="45">
        <f t="shared" si="4"/>
        <v>0</v>
      </c>
    </row>
    <row r="12" spans="2:12">
      <c r="E12" s="28" t="s">
        <v>120</v>
      </c>
      <c r="F12" s="73">
        <f>SUM(F5:F11)</f>
        <v>13</v>
      </c>
      <c r="G12" s="74">
        <f>SUM(G5:G11)</f>
        <v>1</v>
      </c>
      <c r="H12" s="75">
        <f>SUM(H5:H11)/1000+1</f>
        <v>1.0704473105747363</v>
      </c>
      <c r="I12" s="28"/>
      <c r="J12" s="77">
        <f>SUM(J5:J11)/1000+1</f>
        <v>1.0507220636138102</v>
      </c>
      <c r="K12" s="77">
        <f>SUM(K5:K11)/1000+1</f>
        <v>1.0588387096774192</v>
      </c>
      <c r="L12" s="26" t="s">
        <v>111</v>
      </c>
    </row>
    <row r="13" spans="2:12">
      <c r="I13" s="28"/>
      <c r="J13" s="90">
        <f>'Recipe Sheet'!N1</f>
        <v>0</v>
      </c>
      <c r="K13" s="90">
        <f>'Recipe Sheet'!N2</f>
        <v>0</v>
      </c>
      <c r="L13" s="26" t="s">
        <v>110</v>
      </c>
    </row>
    <row r="14" spans="2:12">
      <c r="J14" s="76">
        <f>(J13-1)/(H12-1)</f>
        <v>-14.195006052631602</v>
      </c>
      <c r="K14" s="26" t="s">
        <v>108</v>
      </c>
    </row>
    <row r="15" spans="2:12">
      <c r="K15" s="26"/>
    </row>
  </sheetData>
  <sheetProtection sheet="1" objects="1" scenarios="1"/>
  <mergeCells count="3">
    <mergeCell ref="B2:K2"/>
    <mergeCell ref="I3:J3"/>
    <mergeCell ref="E3:F3"/>
  </mergeCells>
  <dataValidations count="1">
    <dataValidation type="list" allowBlank="1" showInputMessage="1" showErrorMessage="1" sqref="C5:C11">
      <formula1>"Grain,Extract"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4"/>
  <sheetViews>
    <sheetView workbookViewId="0">
      <selection activeCell="E10" sqref="E10"/>
    </sheetView>
  </sheetViews>
  <sheetFormatPr defaultRowHeight="13.2"/>
  <cols>
    <col min="1" max="1" width="24" customWidth="1"/>
    <col min="2" max="2" width="8" bestFit="1" customWidth="1"/>
    <col min="3" max="3" width="5" style="44" bestFit="1" customWidth="1"/>
    <col min="4" max="4" width="8.21875" customWidth="1"/>
    <col min="5" max="5" width="44.44140625" customWidth="1"/>
  </cols>
  <sheetData>
    <row r="2" spans="1:5">
      <c r="A2" s="121" t="s">
        <v>119</v>
      </c>
      <c r="B2" s="121"/>
      <c r="C2" s="121"/>
    </row>
    <row r="3" spans="1:5">
      <c r="A3" s="18" t="s">
        <v>130</v>
      </c>
      <c r="B3" s="18" t="s">
        <v>129</v>
      </c>
      <c r="C3" s="43" t="s">
        <v>122</v>
      </c>
    </row>
    <row r="4" spans="1:5">
      <c r="A4" s="18" t="s">
        <v>128</v>
      </c>
      <c r="B4" s="101">
        <v>68</v>
      </c>
      <c r="C4" s="19" t="s">
        <v>161</v>
      </c>
      <c r="E4" t="s">
        <v>248</v>
      </c>
    </row>
    <row r="5" spans="1:5">
      <c r="A5" s="18" t="s">
        <v>121</v>
      </c>
      <c r="B5" s="101">
        <v>154</v>
      </c>
      <c r="C5" s="19" t="s">
        <v>161</v>
      </c>
      <c r="E5" t="s">
        <v>249</v>
      </c>
    </row>
    <row r="6" spans="1:5">
      <c r="A6" s="18" t="s">
        <v>124</v>
      </c>
      <c r="B6" s="89">
        <v>1.375</v>
      </c>
      <c r="C6" s="19" t="s">
        <v>123</v>
      </c>
      <c r="E6" t="s">
        <v>250</v>
      </c>
    </row>
    <row r="7" spans="1:5">
      <c r="A7" s="18" t="s">
        <v>125</v>
      </c>
      <c r="B7" s="56">
        <f>'BrewHouse Setup'!B2*4</f>
        <v>28</v>
      </c>
      <c r="C7" s="55" t="s">
        <v>179</v>
      </c>
    </row>
    <row r="8" spans="1:5">
      <c r="A8" s="18" t="s">
        <v>183</v>
      </c>
      <c r="B8" s="58">
        <f>'BrewHouse Setup'!B3</f>
        <v>0.95</v>
      </c>
      <c r="C8" s="55" t="s">
        <v>131</v>
      </c>
    </row>
    <row r="9" spans="1:5">
      <c r="A9" s="18" t="s">
        <v>126</v>
      </c>
      <c r="B9" s="52">
        <f>'Grain Bill Calcs'!F12*B6</f>
        <v>17.875</v>
      </c>
      <c r="C9" s="55" t="s">
        <v>179</v>
      </c>
    </row>
    <row r="10" spans="1:5">
      <c r="A10" s="18" t="s">
        <v>127</v>
      </c>
      <c r="B10" s="56">
        <f>(0.2/B6)*(B5-B4)+B5</f>
        <v>166.5090909090909</v>
      </c>
      <c r="C10" s="19" t="s">
        <v>161</v>
      </c>
    </row>
    <row r="11" spans="1:5">
      <c r="A11" s="18" t="s">
        <v>188</v>
      </c>
      <c r="B11" s="56">
        <f>0.3125*'Grain Bill Calcs'!F12</f>
        <v>4.0625</v>
      </c>
      <c r="C11" s="55" t="s">
        <v>179</v>
      </c>
      <c r="E11" t="s">
        <v>191</v>
      </c>
    </row>
    <row r="12" spans="1:5">
      <c r="A12" s="18" t="s">
        <v>186</v>
      </c>
      <c r="B12" s="56">
        <f>0.5*'Grain Bill Calcs'!F12</f>
        <v>6.5</v>
      </c>
      <c r="C12" s="55" t="s">
        <v>179</v>
      </c>
      <c r="E12" t="s">
        <v>187</v>
      </c>
    </row>
    <row r="13" spans="1:5">
      <c r="A13" s="18" t="s">
        <v>177</v>
      </c>
      <c r="B13" s="56">
        <f>(B11+B9)</f>
        <v>21.9375</v>
      </c>
      <c r="C13" s="55" t="s">
        <v>179</v>
      </c>
    </row>
    <row r="14" spans="1:5">
      <c r="A14" s="18" t="s">
        <v>190</v>
      </c>
      <c r="B14" s="31" t="str">
        <f>IF(B13&gt;0.95*B7,"FAIL","PASS")</f>
        <v>PASS</v>
      </c>
      <c r="C14" s="55"/>
      <c r="E14" s="26" t="s">
        <v>197</v>
      </c>
    </row>
    <row r="15" spans="1:5">
      <c r="A15" s="1" t="s">
        <v>178</v>
      </c>
      <c r="B15" s="56">
        <f>B8*B7-B11-B12</f>
        <v>16.037499999999998</v>
      </c>
      <c r="C15" s="46" t="s">
        <v>179</v>
      </c>
      <c r="D15" s="57">
        <f>B15/4</f>
        <v>4.0093749999999995</v>
      </c>
      <c r="E15" t="s">
        <v>0</v>
      </c>
    </row>
    <row r="16" spans="1:5">
      <c r="A16" s="50" t="s">
        <v>244</v>
      </c>
      <c r="B16" s="56">
        <f>'BrewHouse Setup'!B17*4+'BrewHouse Setup'!B10*4</f>
        <v>28.220511500000001</v>
      </c>
      <c r="C16" s="46" t="s">
        <v>179</v>
      </c>
    </row>
    <row r="17" spans="1:5">
      <c r="A17" s="59" t="s">
        <v>180</v>
      </c>
      <c r="B17" s="30">
        <f>B16/B15</f>
        <v>1.7596577708495715</v>
      </c>
      <c r="C17" s="46"/>
      <c r="E17" t="s">
        <v>181</v>
      </c>
    </row>
    <row r="18" spans="1:5">
      <c r="A18" s="59" t="s">
        <v>184</v>
      </c>
      <c r="B18" s="52">
        <f>ROUNDUP(B17,0)</f>
        <v>2</v>
      </c>
      <c r="C18" s="46"/>
      <c r="E18" s="26" t="s">
        <v>195</v>
      </c>
    </row>
    <row r="19" spans="1:5">
      <c r="A19" s="59" t="s">
        <v>185</v>
      </c>
      <c r="B19" s="56">
        <f>B16/B18</f>
        <v>14.11025575</v>
      </c>
      <c r="C19" s="46" t="s">
        <v>179</v>
      </c>
    </row>
    <row r="20" spans="1:5">
      <c r="A20" s="59" t="s">
        <v>189</v>
      </c>
      <c r="B20" s="56">
        <f>B9-B12</f>
        <v>11.375</v>
      </c>
      <c r="C20" s="46" t="s">
        <v>179</v>
      </c>
    </row>
    <row r="21" spans="1:5">
      <c r="A21" s="50" t="s">
        <v>219</v>
      </c>
      <c r="B21" s="56">
        <f>IF(B19&gt;=B20,B19-B20,0)</f>
        <v>2.7352557500000003</v>
      </c>
      <c r="C21" s="46" t="s">
        <v>179</v>
      </c>
    </row>
    <row r="22" spans="1:5">
      <c r="A22" s="50" t="s">
        <v>193</v>
      </c>
      <c r="B22" s="60">
        <f>B19</f>
        <v>14.11025575</v>
      </c>
      <c r="C22" s="46" t="s">
        <v>179</v>
      </c>
      <c r="D22" s="57">
        <f>B22/4</f>
        <v>3.5275639375000001</v>
      </c>
      <c r="E22" t="s">
        <v>0</v>
      </c>
    </row>
    <row r="23" spans="1:5">
      <c r="A23" s="50" t="s">
        <v>192</v>
      </c>
      <c r="B23" s="56">
        <f>IF(B18&gt;1,IF(B20&gt;B19,B19-(B20-B19),B19),0)</f>
        <v>14.11025575</v>
      </c>
      <c r="C23" s="55" t="s">
        <v>179</v>
      </c>
      <c r="D23" s="57">
        <f>B23/4</f>
        <v>3.5275639375000001</v>
      </c>
      <c r="E23" t="s">
        <v>0</v>
      </c>
    </row>
    <row r="24" spans="1:5">
      <c r="A24" s="50" t="s">
        <v>194</v>
      </c>
      <c r="B24" s="56">
        <f>IF(B18&gt;2,B19,0)</f>
        <v>0</v>
      </c>
      <c r="C24" s="55" t="s">
        <v>179</v>
      </c>
    </row>
  </sheetData>
  <sheetProtection sheet="1" objects="1" scenarios="1"/>
  <mergeCells count="1">
    <mergeCell ref="A2:C2"/>
  </mergeCells>
  <phoneticPr fontId="0" type="noConversion"/>
  <conditionalFormatting sqref="B14">
    <cfRule type="cellIs" dxfId="1" priority="1" operator="equal">
      <formula>"PASS"</formula>
    </cfRule>
    <cfRule type="cellIs" dxfId="0" priority="2" operator="equal">
      <formula>"FAIL"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E10" sqref="E10:F10 H10 I5"/>
    </sheetView>
  </sheetViews>
  <sheetFormatPr defaultRowHeight="13.2"/>
  <cols>
    <col min="1" max="1" width="29.77734375" bestFit="1" customWidth="1"/>
    <col min="2" max="2" width="8.5546875" customWidth="1"/>
    <col min="3" max="3" width="7.21875" customWidth="1"/>
    <col min="4" max="4" width="9.5546875" customWidth="1"/>
    <col min="5" max="5" width="6.5546875" style="36" customWidth="1"/>
    <col min="6" max="6" width="5.77734375" customWidth="1"/>
    <col min="7" max="7" width="6.88671875" customWidth="1"/>
    <col min="8" max="9" width="6.44140625" customWidth="1"/>
  </cols>
  <sheetData>
    <row r="1" spans="1:10">
      <c r="B1" s="122" t="s">
        <v>169</v>
      </c>
      <c r="C1" s="122"/>
      <c r="D1" s="122"/>
      <c r="E1" s="122"/>
      <c r="F1" s="122"/>
      <c r="G1" s="122"/>
      <c r="H1" s="122"/>
      <c r="I1" s="122"/>
    </row>
    <row r="2" spans="1:10">
      <c r="B2" s="53" t="s">
        <v>214</v>
      </c>
      <c r="C2" s="102">
        <v>0.1</v>
      </c>
      <c r="D2" s="28" t="s">
        <v>172</v>
      </c>
      <c r="E2" s="103">
        <v>0</v>
      </c>
      <c r="F2" s="18" t="s">
        <v>170</v>
      </c>
      <c r="G2" s="102">
        <v>0.1</v>
      </c>
      <c r="H2" s="18" t="s">
        <v>171</v>
      </c>
      <c r="I2" s="102">
        <v>0.05</v>
      </c>
    </row>
    <row r="4" spans="1:10">
      <c r="B4" s="111" t="s">
        <v>104</v>
      </c>
      <c r="C4" s="111"/>
      <c r="D4" s="111"/>
      <c r="E4" s="111"/>
      <c r="F4" s="111"/>
      <c r="G4" s="111"/>
      <c r="H4" s="111"/>
      <c r="I4" s="111"/>
    </row>
    <row r="5" spans="1:10">
      <c r="B5" s="1" t="s">
        <v>242</v>
      </c>
      <c r="C5" s="63"/>
      <c r="D5" s="65">
        <f>('Grain Bill Calcs'!J12+'Grain Bill Calcs'!K12)/2</f>
        <v>1.0547803866456147</v>
      </c>
      <c r="E5" s="35"/>
      <c r="F5" s="119" t="s">
        <v>196</v>
      </c>
      <c r="G5" s="123"/>
      <c r="H5" s="120"/>
      <c r="I5" s="33">
        <f>'BrewHouse Setup'!B13</f>
        <v>5.8125</v>
      </c>
    </row>
    <row r="6" spans="1:10" ht="30.6" customHeight="1">
      <c r="B6" s="41" t="s">
        <v>102</v>
      </c>
      <c r="C6" s="41" t="s">
        <v>70</v>
      </c>
      <c r="D6" s="41" t="s">
        <v>99</v>
      </c>
      <c r="E6" s="37" t="s">
        <v>101</v>
      </c>
      <c r="F6" s="41" t="s">
        <v>97</v>
      </c>
      <c r="G6" s="41" t="s">
        <v>112</v>
      </c>
      <c r="H6" s="41" t="s">
        <v>94</v>
      </c>
      <c r="I6" s="41" t="s">
        <v>93</v>
      </c>
    </row>
    <row r="7" spans="1:10">
      <c r="A7" s="28" t="s">
        <v>215</v>
      </c>
      <c r="B7" s="99" t="s">
        <v>212</v>
      </c>
      <c r="C7" s="99" t="s">
        <v>100</v>
      </c>
      <c r="D7" s="99" t="s">
        <v>72</v>
      </c>
      <c r="E7" s="104">
        <v>9.1999999999999993</v>
      </c>
      <c r="F7" s="105">
        <v>0.5</v>
      </c>
      <c r="G7" s="47">
        <f>1+IF(C7="Leaf",0,IF(C7="Pellet",$G$2,IF(C7="Plug",$I$2,)))+IF(B7="FWH",$C$2,)</f>
        <v>1.2000000000000002</v>
      </c>
      <c r="H7" s="45">
        <f>(1.65*0.000125^($D$5-1))*((1-EXP(-0.04*IF(B7="Dry Hop",0,IF(B7="FWH",'BrewHouse Setup'!B6,B7))))/4.15)*G7</f>
        <v>0.27709280656025714</v>
      </c>
      <c r="I7" s="33">
        <f t="shared" ref="I7:I13" si="0">(E7*F7*H7*74.89/$I$5)</f>
        <v>16.422676869362448</v>
      </c>
    </row>
    <row r="8" spans="1:10">
      <c r="B8" s="99">
        <v>60</v>
      </c>
      <c r="C8" s="99" t="s">
        <v>100</v>
      </c>
      <c r="D8" s="99" t="s">
        <v>72</v>
      </c>
      <c r="E8" s="104">
        <v>9.1999999999999993</v>
      </c>
      <c r="F8" s="105">
        <v>0.5</v>
      </c>
      <c r="G8" s="47">
        <f t="shared" ref="G8:G13" si="1">1+IF(C8="Leaf",0,IF(C8="Pellet",$G$2,IF(C8="Plug",$I$2,)))+IF(B8="FWH",$C$2,)</f>
        <v>1.1000000000000001</v>
      </c>
      <c r="H8" s="45">
        <f>(1.65*0.000125^($D$5-1))*((1-EXP(-0.04*IF(B8="Dry Hop",0,IF(B8="FWH",'BrewHouse Setup'!B7,B8))))/4.15)*G8</f>
        <v>0.24306049068885305</v>
      </c>
      <c r="I8" s="33">
        <f t="shared" si="0"/>
        <v>14.405656891073674</v>
      </c>
    </row>
    <row r="9" spans="1:10">
      <c r="B9" s="99">
        <v>45</v>
      </c>
      <c r="C9" s="99" t="s">
        <v>100</v>
      </c>
      <c r="D9" s="99" t="s">
        <v>72</v>
      </c>
      <c r="E9" s="104">
        <v>9.1999999999999993</v>
      </c>
      <c r="F9" s="105">
        <v>0.5</v>
      </c>
      <c r="G9" s="47">
        <f t="shared" si="1"/>
        <v>1.1000000000000001</v>
      </c>
      <c r="H9" s="45">
        <f>(1.65*0.000125^($D$5-1))*((1-EXP(-0.04*IF(B9="Dry Hop",0,IF(B9="FWH",'BrewHouse Setup'!B8,B9))))/4.15)*G9</f>
        <v>0.22312423580927387</v>
      </c>
      <c r="I9" s="33">
        <f t="shared" si="0"/>
        <v>13.224079224237416</v>
      </c>
    </row>
    <row r="10" spans="1:10">
      <c r="B10" s="99">
        <v>30</v>
      </c>
      <c r="C10" s="99" t="s">
        <v>100</v>
      </c>
      <c r="D10" s="99" t="s">
        <v>72</v>
      </c>
      <c r="E10" s="104">
        <v>9.1999999999999993</v>
      </c>
      <c r="F10" s="105">
        <v>0.5</v>
      </c>
      <c r="G10" s="47">
        <f t="shared" si="1"/>
        <v>1.1000000000000001</v>
      </c>
      <c r="H10" s="45">
        <f>(1.65*0.000125^($D$5-1))*((1-EXP(-0.04*IF(B10="Dry Hop",0,IF(B10="FWH",'BrewHouse Setup'!B9,B10))))/4.15)*G10</f>
        <v>0.18679801098381574</v>
      </c>
      <c r="I10" s="33">
        <f t="shared" si="0"/>
        <v>11.071104343373523</v>
      </c>
    </row>
    <row r="11" spans="1:10">
      <c r="B11" s="99">
        <v>15</v>
      </c>
      <c r="C11" s="99" t="s">
        <v>100</v>
      </c>
      <c r="D11" s="99" t="s">
        <v>72</v>
      </c>
      <c r="E11" s="104">
        <v>9.1999999999999993</v>
      </c>
      <c r="F11" s="105">
        <v>0.5</v>
      </c>
      <c r="G11" s="47">
        <f t="shared" si="1"/>
        <v>1.1000000000000001</v>
      </c>
      <c r="H11" s="45">
        <f>(1.65*0.000125^($D$5-1))*((1-EXP(-0.04*IF(B11="Dry Hop",0,IF(B11="FWH",'BrewHouse Setup'!B10,B11))))/4.15)*G11</f>
        <v>0.12060731378213607</v>
      </c>
      <c r="I11" s="33">
        <f t="shared" si="0"/>
        <v>7.1481283361829124</v>
      </c>
    </row>
    <row r="12" spans="1:10">
      <c r="B12" s="99">
        <v>0</v>
      </c>
      <c r="C12" s="99" t="s">
        <v>100</v>
      </c>
      <c r="D12" s="99" t="s">
        <v>72</v>
      </c>
      <c r="E12" s="104">
        <v>9.1999999999999993</v>
      </c>
      <c r="F12" s="105">
        <v>0.5</v>
      </c>
      <c r="G12" s="47">
        <f t="shared" si="1"/>
        <v>1.1000000000000001</v>
      </c>
      <c r="H12" s="45">
        <f>(1.65*0.000125^($D$5-1))*((1-EXP(-0.04*IF(B12="Dry Hop",0,IF(B12="FWH",'BrewHouse Setup'!B11,B12))))/4.15)*G12</f>
        <v>0</v>
      </c>
      <c r="I12" s="33">
        <f t="shared" si="0"/>
        <v>0</v>
      </c>
    </row>
    <row r="13" spans="1:10">
      <c r="A13" s="28" t="s">
        <v>216</v>
      </c>
      <c r="B13" s="99" t="s">
        <v>213</v>
      </c>
      <c r="C13" s="99" t="s">
        <v>113</v>
      </c>
      <c r="D13" s="99" t="s">
        <v>72</v>
      </c>
      <c r="E13" s="104">
        <v>9.1999999999999993</v>
      </c>
      <c r="F13" s="105">
        <v>0</v>
      </c>
      <c r="G13" s="47">
        <f t="shared" si="1"/>
        <v>1</v>
      </c>
      <c r="H13" s="45">
        <f>(1.65*0.000125^($D$5-1))*((1-EXP(-0.04*IF(B13="Dry Hop",0,IF(B13="FWH",'BrewHouse Setup'!B12,B13))))/4.15)*G13</f>
        <v>0</v>
      </c>
      <c r="I13" s="33">
        <f t="shared" si="0"/>
        <v>0</v>
      </c>
    </row>
    <row r="14" spans="1:10">
      <c r="C14" s="70" t="s">
        <v>240</v>
      </c>
      <c r="I14" s="33">
        <f>SUM(I7:I13)</f>
        <v>62.271645664229972</v>
      </c>
      <c r="J14" s="29" t="s">
        <v>98</v>
      </c>
    </row>
    <row r="15" spans="1:10">
      <c r="C15" s="70" t="s">
        <v>241</v>
      </c>
    </row>
    <row r="16" spans="1:10">
      <c r="C16" s="70" t="s">
        <v>100</v>
      </c>
    </row>
    <row r="17" spans="3:3">
      <c r="C17" s="70" t="s">
        <v>113</v>
      </c>
    </row>
    <row r="18" spans="3:3">
      <c r="C18" s="70" t="s">
        <v>239</v>
      </c>
    </row>
    <row r="19" spans="3:3">
      <c r="C19" s="70" t="s">
        <v>114</v>
      </c>
    </row>
  </sheetData>
  <sheetProtection sheet="1" objects="1" scenarios="1"/>
  <mergeCells count="3">
    <mergeCell ref="B4:I4"/>
    <mergeCell ref="B1:I1"/>
    <mergeCell ref="F5:H5"/>
  </mergeCells>
  <dataValidations count="1">
    <dataValidation type="list" allowBlank="1" showInputMessage="1" showErrorMessage="1" sqref="C7:C13">
      <formula1>"N/A,Leaf,Pellet,Plug"</formula1>
    </dataValidation>
  </dataValidation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workbookViewId="0">
      <selection activeCell="D19" sqref="D19"/>
    </sheetView>
  </sheetViews>
  <sheetFormatPr defaultRowHeight="13.2"/>
  <cols>
    <col min="1" max="1" width="13.88671875" bestFit="1" customWidth="1"/>
    <col min="2" max="2" width="3.33203125" customWidth="1"/>
    <col min="3" max="3" width="8.33203125" bestFit="1" customWidth="1"/>
    <col min="4" max="4" width="8.5546875" bestFit="1" customWidth="1"/>
    <col min="5" max="5" width="6.33203125" customWidth="1"/>
  </cols>
  <sheetData>
    <row r="1" spans="1:4">
      <c r="A1" s="126" t="s">
        <v>84</v>
      </c>
      <c r="B1" s="126"/>
      <c r="C1" s="126"/>
      <c r="D1" s="126"/>
    </row>
    <row r="2" spans="1:4">
      <c r="A2" s="21" t="s">
        <v>82</v>
      </c>
      <c r="B2" s="3"/>
      <c r="C2" s="25" t="s">
        <v>85</v>
      </c>
      <c r="D2" s="3" t="s">
        <v>86</v>
      </c>
    </row>
    <row r="3" spans="1:4">
      <c r="A3" s="22">
        <v>8.73</v>
      </c>
      <c r="B3" s="20" t="s">
        <v>1</v>
      </c>
      <c r="C3" s="24">
        <f>A3*0.8125</f>
        <v>7.0931250000000006</v>
      </c>
      <c r="D3" s="24">
        <f>A3*0.6875</f>
        <v>6.0018750000000001</v>
      </c>
    </row>
    <row r="4" spans="1:4" ht="26.4">
      <c r="A4" s="21" t="s">
        <v>83</v>
      </c>
      <c r="B4" s="3"/>
      <c r="C4" s="25" t="s">
        <v>87</v>
      </c>
      <c r="D4" s="3" t="s">
        <v>88</v>
      </c>
    </row>
    <row r="5" spans="1:4">
      <c r="A5" s="22">
        <v>7.57</v>
      </c>
      <c r="B5" s="20" t="s">
        <v>1</v>
      </c>
      <c r="C5" s="24">
        <f>A5*0.937</f>
        <v>7.093090000000001</v>
      </c>
      <c r="D5" s="24">
        <f>A5*0.7929</f>
        <v>6.0022530000000005</v>
      </c>
    </row>
    <row r="7" spans="1:4">
      <c r="A7" s="126" t="s">
        <v>81</v>
      </c>
      <c r="B7" s="126"/>
      <c r="C7" s="126"/>
      <c r="D7" s="126"/>
    </row>
    <row r="8" spans="1:4">
      <c r="A8" s="23" t="s">
        <v>85</v>
      </c>
      <c r="B8" s="3"/>
      <c r="C8" s="127" t="s">
        <v>82</v>
      </c>
      <c r="D8" s="128"/>
    </row>
    <row r="9" spans="1:4">
      <c r="A9" s="22">
        <v>6</v>
      </c>
      <c r="B9" s="20" t="s">
        <v>1</v>
      </c>
      <c r="C9" s="124">
        <f>A9/0.8125</f>
        <v>7.384615384615385</v>
      </c>
      <c r="D9" s="125"/>
    </row>
    <row r="10" spans="1:4">
      <c r="A10" s="23" t="s">
        <v>86</v>
      </c>
      <c r="B10" s="3"/>
      <c r="C10" s="127" t="s">
        <v>82</v>
      </c>
      <c r="D10" s="128"/>
    </row>
    <row r="11" spans="1:4">
      <c r="A11" s="22">
        <v>6</v>
      </c>
      <c r="B11" s="20" t="s">
        <v>1</v>
      </c>
      <c r="C11" s="124">
        <f>A11/0.6875</f>
        <v>8.7272727272727266</v>
      </c>
      <c r="D11" s="125"/>
    </row>
    <row r="12" spans="1:4">
      <c r="A12" s="23" t="s">
        <v>87</v>
      </c>
      <c r="B12" s="3"/>
      <c r="C12" s="127" t="s">
        <v>82</v>
      </c>
      <c r="D12" s="128"/>
    </row>
    <row r="13" spans="1:4">
      <c r="A13" s="22">
        <v>6</v>
      </c>
      <c r="B13" s="20" t="s">
        <v>1</v>
      </c>
      <c r="C13" s="124">
        <f>A13/0.937</f>
        <v>6.4034151547491991</v>
      </c>
      <c r="D13" s="125"/>
    </row>
    <row r="14" spans="1:4">
      <c r="A14" s="23" t="s">
        <v>88</v>
      </c>
      <c r="B14" s="3"/>
      <c r="C14" s="127" t="s">
        <v>82</v>
      </c>
      <c r="D14" s="128"/>
    </row>
    <row r="15" spans="1:4">
      <c r="A15" s="22">
        <v>6</v>
      </c>
      <c r="B15" s="20" t="s">
        <v>1</v>
      </c>
      <c r="C15" s="124">
        <f>A15/0.7929</f>
        <v>7.567158531971244</v>
      </c>
      <c r="D15" s="125"/>
    </row>
    <row r="17" spans="1:1">
      <c r="A17" s="26" t="s">
        <v>90</v>
      </c>
    </row>
    <row r="18" spans="1:1">
      <c r="A18" s="26" t="s">
        <v>89</v>
      </c>
    </row>
    <row r="19" spans="1:1">
      <c r="A19" s="26" t="s">
        <v>91</v>
      </c>
    </row>
    <row r="20" spans="1:1">
      <c r="A20" s="26" t="s">
        <v>92</v>
      </c>
    </row>
  </sheetData>
  <mergeCells count="10">
    <mergeCell ref="C15:D15"/>
    <mergeCell ref="A1:D1"/>
    <mergeCell ref="A7:D7"/>
    <mergeCell ref="C9:D9"/>
    <mergeCell ref="C11:D11"/>
    <mergeCell ref="C8:D8"/>
    <mergeCell ref="C10:D10"/>
    <mergeCell ref="C12:D12"/>
    <mergeCell ref="C13:D13"/>
    <mergeCell ref="C14:D14"/>
  </mergeCells>
  <phoneticPr fontId="0" type="noConversion"/>
  <pageMargins left="0.75" right="0.75" top="1" bottom="1" header="0.5" footer="0.5"/>
  <pageSetup orientation="portrait" horizontalDpi="0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workbookViewId="0">
      <selection activeCell="B2" sqref="B2"/>
    </sheetView>
  </sheetViews>
  <sheetFormatPr defaultRowHeight="13.2"/>
  <cols>
    <col min="1" max="1" width="21.109375" customWidth="1"/>
    <col min="2" max="2" width="6.6640625" customWidth="1"/>
    <col min="3" max="3" width="13.5546875" customWidth="1"/>
    <col min="4" max="4" width="2.88671875" customWidth="1"/>
    <col min="5" max="5" width="4.33203125" customWidth="1"/>
    <col min="6" max="7" width="5.88671875" customWidth="1"/>
    <col min="8" max="8" width="7.44140625" customWidth="1"/>
    <col min="9" max="9" width="2.6640625" customWidth="1"/>
    <col min="10" max="10" width="21" customWidth="1"/>
    <col min="12" max="12" width="8.5546875" customWidth="1"/>
    <col min="13" max="13" width="4" customWidth="1"/>
    <col min="14" max="14" width="6" customWidth="1"/>
    <col min="15" max="15" width="7.5546875" customWidth="1"/>
    <col min="16" max="16" width="2.6640625" customWidth="1"/>
    <col min="17" max="17" width="19.88671875" customWidth="1"/>
  </cols>
  <sheetData>
    <row r="1" spans="1:12" ht="15.6">
      <c r="A1" s="126" t="s">
        <v>68</v>
      </c>
      <c r="B1" s="126"/>
      <c r="C1" s="126"/>
      <c r="E1" s="126" t="s">
        <v>40</v>
      </c>
      <c r="F1" s="126"/>
      <c r="G1" s="126"/>
      <c r="H1" s="126"/>
      <c r="J1" s="126" t="s">
        <v>31</v>
      </c>
      <c r="K1" s="126"/>
      <c r="L1" s="126"/>
    </row>
    <row r="2" spans="1:12" ht="15.6">
      <c r="A2" s="5" t="s">
        <v>41</v>
      </c>
      <c r="B2" s="7">
        <v>0.88</v>
      </c>
      <c r="C2" s="2" t="s">
        <v>17</v>
      </c>
      <c r="E2" s="126" t="s">
        <v>22</v>
      </c>
      <c r="F2" s="126"/>
      <c r="G2" s="136" t="s">
        <v>49</v>
      </c>
      <c r="H2" s="141" t="s">
        <v>69</v>
      </c>
      <c r="J2" s="126" t="s">
        <v>24</v>
      </c>
      <c r="K2" s="130" t="s">
        <v>48</v>
      </c>
      <c r="L2" s="141" t="s">
        <v>38</v>
      </c>
    </row>
    <row r="3" spans="1:12" ht="15.6">
      <c r="A3" s="5" t="s">
        <v>39</v>
      </c>
      <c r="B3" s="7">
        <v>2.4500000000000002</v>
      </c>
      <c r="C3" s="2" t="s">
        <v>17</v>
      </c>
      <c r="E3" s="2" t="s">
        <v>21</v>
      </c>
      <c r="F3" s="2" t="s">
        <v>23</v>
      </c>
      <c r="G3" s="137"/>
      <c r="H3" s="141"/>
      <c r="J3" s="126"/>
      <c r="K3" s="132"/>
      <c r="L3" s="141"/>
    </row>
    <row r="4" spans="1:12" ht="15.6">
      <c r="A4" s="130" t="s">
        <v>60</v>
      </c>
      <c r="B4" s="6">
        <f>(B3-B2)*'Common Variables'!A14/(2*('Common Variables'!B6*'Common Variables'!B7/'Common Variables'!B8))</f>
        <v>5.8790659279309505</v>
      </c>
      <c r="C4" s="2" t="s">
        <v>18</v>
      </c>
      <c r="E4" s="2">
        <v>0</v>
      </c>
      <c r="F4" s="9">
        <f t="shared" ref="F4:F15" si="0">E4*9/5+32</f>
        <v>32</v>
      </c>
      <c r="G4" s="8">
        <v>3.34</v>
      </c>
      <c r="H4" s="8">
        <v>1.7</v>
      </c>
      <c r="J4" s="1" t="s">
        <v>25</v>
      </c>
      <c r="K4" s="2" t="s">
        <v>50</v>
      </c>
      <c r="L4" s="19" t="s">
        <v>76</v>
      </c>
    </row>
    <row r="5" spans="1:12">
      <c r="A5" s="131"/>
      <c r="B5" s="6">
        <f>B4*0.0352739658378695*3.785411784</f>
        <v>0.78501101403137241</v>
      </c>
      <c r="C5" s="2" t="s">
        <v>19</v>
      </c>
      <c r="E5" s="2">
        <v>2</v>
      </c>
      <c r="F5" s="9">
        <f t="shared" si="0"/>
        <v>35.6</v>
      </c>
      <c r="G5" s="8">
        <v>3.14</v>
      </c>
      <c r="H5" s="8">
        <v>1.6</v>
      </c>
      <c r="J5" s="1" t="s">
        <v>34</v>
      </c>
      <c r="K5" s="2" t="s">
        <v>30</v>
      </c>
      <c r="L5" s="2" t="s">
        <v>26</v>
      </c>
    </row>
    <row r="6" spans="1:12">
      <c r="A6" s="131"/>
      <c r="B6" s="6">
        <f>B5*5</f>
        <v>3.9250550701568621</v>
      </c>
      <c r="C6" s="2" t="s">
        <v>20</v>
      </c>
      <c r="E6" s="2">
        <v>4</v>
      </c>
      <c r="F6" s="9">
        <f t="shared" si="0"/>
        <v>39.200000000000003</v>
      </c>
      <c r="G6" s="8">
        <v>2.95</v>
      </c>
      <c r="H6" s="8">
        <v>1.5</v>
      </c>
      <c r="J6" s="1" t="s">
        <v>33</v>
      </c>
      <c r="K6" s="2" t="s">
        <v>51</v>
      </c>
      <c r="L6" s="2" t="s">
        <v>27</v>
      </c>
    </row>
    <row r="7" spans="1:12" ht="18.75" customHeight="1">
      <c r="A7" s="130" t="s">
        <v>61</v>
      </c>
      <c r="B7" s="6">
        <f>B4*1.15</f>
        <v>6.7609258171205928</v>
      </c>
      <c r="C7" s="2" t="s">
        <v>18</v>
      </c>
      <c r="E7" s="2">
        <v>6</v>
      </c>
      <c r="F7" s="9">
        <f t="shared" si="0"/>
        <v>42.8</v>
      </c>
      <c r="G7" s="8">
        <v>2.75</v>
      </c>
      <c r="H7" s="8">
        <v>1.4</v>
      </c>
      <c r="J7" s="1" t="s">
        <v>32</v>
      </c>
      <c r="K7" s="2" t="s">
        <v>52</v>
      </c>
      <c r="L7" s="19" t="s">
        <v>80</v>
      </c>
    </row>
    <row r="8" spans="1:12">
      <c r="A8" s="131"/>
      <c r="B8" s="6">
        <f>B7*0.0352739658378695*3.785411784</f>
        <v>0.90276266613607825</v>
      </c>
      <c r="C8" s="2" t="s">
        <v>19</v>
      </c>
      <c r="E8" s="2">
        <v>8</v>
      </c>
      <c r="F8" s="9">
        <f t="shared" si="0"/>
        <v>46.4</v>
      </c>
      <c r="G8" s="8">
        <v>2.5499999999999998</v>
      </c>
      <c r="H8" s="8">
        <v>1.3</v>
      </c>
      <c r="J8" s="18" t="s">
        <v>74</v>
      </c>
      <c r="K8" s="2" t="s">
        <v>53</v>
      </c>
      <c r="L8" s="19" t="s">
        <v>78</v>
      </c>
    </row>
    <row r="9" spans="1:12">
      <c r="A9" s="132"/>
      <c r="B9" s="6">
        <f>B8*5</f>
        <v>4.5138133306803914</v>
      </c>
      <c r="C9" s="2" t="s">
        <v>20</v>
      </c>
      <c r="E9" s="2">
        <v>10</v>
      </c>
      <c r="F9" s="9">
        <f t="shared" si="0"/>
        <v>50</v>
      </c>
      <c r="G9" s="8">
        <v>2.36</v>
      </c>
      <c r="H9" s="8">
        <v>1.2</v>
      </c>
      <c r="J9" s="18" t="s">
        <v>75</v>
      </c>
      <c r="K9" s="17"/>
      <c r="L9" s="19" t="s">
        <v>79</v>
      </c>
    </row>
    <row r="10" spans="1:12" ht="15" customHeight="1">
      <c r="A10" s="133" t="s">
        <v>66</v>
      </c>
      <c r="B10" s="6">
        <f>B4*1.3</f>
        <v>7.642785706310236</v>
      </c>
      <c r="C10" s="2" t="s">
        <v>18</v>
      </c>
      <c r="E10" s="2">
        <v>12</v>
      </c>
      <c r="F10" s="9">
        <f t="shared" si="0"/>
        <v>53.6</v>
      </c>
      <c r="G10" s="8">
        <v>2.2000000000000002</v>
      </c>
      <c r="H10" s="8">
        <v>1.1200000000000001</v>
      </c>
      <c r="J10" s="1" t="s">
        <v>35</v>
      </c>
      <c r="K10" s="2" t="s">
        <v>53</v>
      </c>
      <c r="L10" s="2" t="s">
        <v>28</v>
      </c>
    </row>
    <row r="11" spans="1:12">
      <c r="A11" s="134"/>
      <c r="B11" s="6">
        <f>B10*0.0352739658378695*3.785411784</f>
        <v>1.0205143182407841</v>
      </c>
      <c r="C11" s="2" t="s">
        <v>19</v>
      </c>
      <c r="E11" s="2">
        <v>14</v>
      </c>
      <c r="F11" s="9">
        <f t="shared" si="0"/>
        <v>57.2</v>
      </c>
      <c r="G11" s="8">
        <v>2.06</v>
      </c>
      <c r="H11" s="8">
        <v>1.05</v>
      </c>
      <c r="J11" s="1" t="s">
        <v>36</v>
      </c>
      <c r="K11" s="2" t="s">
        <v>55</v>
      </c>
      <c r="L11" s="2" t="s">
        <v>29</v>
      </c>
    </row>
    <row r="12" spans="1:12">
      <c r="A12" s="135"/>
      <c r="B12" s="6">
        <f>B11*5</f>
        <v>5.1025715912039207</v>
      </c>
      <c r="C12" s="2" t="s">
        <v>20</v>
      </c>
      <c r="E12" s="2">
        <v>16</v>
      </c>
      <c r="F12" s="9">
        <f t="shared" si="0"/>
        <v>60.8</v>
      </c>
      <c r="G12" s="8">
        <v>1.94</v>
      </c>
      <c r="H12" s="8">
        <v>0.99</v>
      </c>
      <c r="J12" s="1" t="s">
        <v>37</v>
      </c>
      <c r="K12" s="2" t="s">
        <v>54</v>
      </c>
      <c r="L12" s="19" t="s">
        <v>77</v>
      </c>
    </row>
    <row r="13" spans="1:12" ht="15.6">
      <c r="A13" s="129" t="s">
        <v>67</v>
      </c>
      <c r="B13" s="6">
        <f>B4*1.4</f>
        <v>8.23069229910333</v>
      </c>
      <c r="C13" s="2" t="s">
        <v>18</v>
      </c>
      <c r="E13" s="2">
        <v>18</v>
      </c>
      <c r="F13" s="9">
        <f t="shared" si="0"/>
        <v>64.400000000000006</v>
      </c>
      <c r="G13" s="8">
        <v>1.83</v>
      </c>
      <c r="H13" s="8">
        <v>0.93</v>
      </c>
      <c r="L13" s="4"/>
    </row>
    <row r="14" spans="1:12">
      <c r="A14" s="129"/>
      <c r="B14" s="6">
        <f>B13*0.0352739658378695*3.785411784</f>
        <v>1.0990154196439212</v>
      </c>
      <c r="C14" s="2" t="s">
        <v>19</v>
      </c>
      <c r="E14" s="2">
        <v>20</v>
      </c>
      <c r="F14" s="9">
        <f t="shared" si="0"/>
        <v>68</v>
      </c>
      <c r="G14" s="8">
        <v>1.73</v>
      </c>
      <c r="H14" s="8">
        <v>0.88</v>
      </c>
    </row>
    <row r="15" spans="1:12">
      <c r="A15" s="129"/>
      <c r="B15" s="6">
        <f>B14*5</f>
        <v>5.495077098219606</v>
      </c>
      <c r="C15" s="2" t="s">
        <v>20</v>
      </c>
      <c r="E15" s="2">
        <v>22</v>
      </c>
      <c r="F15" s="9">
        <f t="shared" si="0"/>
        <v>71.599999999999994</v>
      </c>
      <c r="G15" s="8">
        <v>1.63</v>
      </c>
      <c r="H15" s="8">
        <v>0.83</v>
      </c>
    </row>
    <row r="17" spans="1:3" ht="15.6">
      <c r="A17" s="138" t="s">
        <v>65</v>
      </c>
      <c r="B17" s="139"/>
      <c r="C17" s="140"/>
    </row>
    <row r="18" spans="1:3" ht="15.6">
      <c r="A18" s="5" t="s">
        <v>56</v>
      </c>
      <c r="B18" s="7">
        <v>1.73</v>
      </c>
      <c r="C18" s="2" t="s">
        <v>58</v>
      </c>
    </row>
    <row r="19" spans="1:3" ht="15.6">
      <c r="A19" s="5" t="s">
        <v>57</v>
      </c>
      <c r="B19" s="7">
        <v>4.7</v>
      </c>
      <c r="C19" s="2" t="s">
        <v>58</v>
      </c>
    </row>
    <row r="20" spans="1:3" ht="15.6">
      <c r="A20" s="130" t="s">
        <v>60</v>
      </c>
      <c r="B20" s="6">
        <f>(B19-B18)*2.16</f>
        <v>6.4152000000000005</v>
      </c>
      <c r="C20" s="2" t="s">
        <v>18</v>
      </c>
    </row>
    <row r="21" spans="1:3">
      <c r="A21" s="131"/>
      <c r="B21" s="6">
        <f>B20*0.0352739658378695*3.785411784</f>
        <v>0.85659911267339828</v>
      </c>
      <c r="C21" s="2" t="s">
        <v>19</v>
      </c>
    </row>
    <row r="22" spans="1:3">
      <c r="A22" s="132"/>
      <c r="B22" s="6">
        <f>B21*5</f>
        <v>4.2829955633669918</v>
      </c>
      <c r="C22" s="2" t="s">
        <v>20</v>
      </c>
    </row>
    <row r="23" spans="1:3" ht="15.6">
      <c r="A23" s="130" t="s">
        <v>59</v>
      </c>
      <c r="B23" s="6">
        <f>B20*1.15</f>
        <v>7.3774800000000003</v>
      </c>
      <c r="C23" s="2" t="s">
        <v>18</v>
      </c>
    </row>
    <row r="24" spans="1:3">
      <c r="A24" s="131"/>
      <c r="B24" s="6">
        <f>B23*0.0352739658378695*3.785411784</f>
        <v>0.98508897957440789</v>
      </c>
      <c r="C24" s="2" t="s">
        <v>19</v>
      </c>
    </row>
    <row r="25" spans="1:3">
      <c r="A25" s="132"/>
      <c r="B25" s="6">
        <f>B24*5</f>
        <v>4.9254448978720395</v>
      </c>
      <c r="C25" s="2" t="s">
        <v>20</v>
      </c>
    </row>
    <row r="26" spans="1:3" ht="15.6">
      <c r="A26" s="133" t="s">
        <v>66</v>
      </c>
      <c r="B26" s="6">
        <f>B20*1.3</f>
        <v>8.3397600000000001</v>
      </c>
      <c r="C26" s="2" t="s">
        <v>18</v>
      </c>
    </row>
    <row r="27" spans="1:3">
      <c r="A27" s="134"/>
      <c r="B27" s="6">
        <f>B26*0.0352739658378695*3.785411784</f>
        <v>1.1135788464754177</v>
      </c>
      <c r="C27" s="2" t="s">
        <v>19</v>
      </c>
    </row>
    <row r="28" spans="1:3">
      <c r="A28" s="135"/>
      <c r="B28" s="6">
        <f>B27*5</f>
        <v>5.567894232377089</v>
      </c>
      <c r="C28" s="2" t="s">
        <v>20</v>
      </c>
    </row>
    <row r="29" spans="1:3" ht="15.6">
      <c r="A29" s="129" t="s">
        <v>67</v>
      </c>
      <c r="B29" s="6">
        <f>B20*1.4</f>
        <v>8.9812799999999999</v>
      </c>
      <c r="C29" s="2" t="s">
        <v>18</v>
      </c>
    </row>
    <row r="30" spans="1:3">
      <c r="A30" s="129"/>
      <c r="B30" s="6">
        <f>B29*0.0352739658378695*3.785411784</f>
        <v>1.1992387577427575</v>
      </c>
      <c r="C30" s="2" t="s">
        <v>19</v>
      </c>
    </row>
    <row r="31" spans="1:3">
      <c r="A31" s="129"/>
      <c r="B31" s="6">
        <f>B30*5</f>
        <v>5.9961937887137875</v>
      </c>
      <c r="C31" s="2" t="s">
        <v>20</v>
      </c>
    </row>
    <row r="33" spans="1:1" ht="15.6">
      <c r="A33" s="16" t="s">
        <v>62</v>
      </c>
    </row>
    <row r="34" spans="1:1" ht="15.6">
      <c r="A34" s="16" t="s">
        <v>63</v>
      </c>
    </row>
    <row r="35" spans="1:1" ht="15.6">
      <c r="A35" s="16" t="s">
        <v>64</v>
      </c>
    </row>
  </sheetData>
  <mergeCells count="18">
    <mergeCell ref="J1:L1"/>
    <mergeCell ref="A1:C1"/>
    <mergeCell ref="E1:H1"/>
    <mergeCell ref="A17:C17"/>
    <mergeCell ref="A10:A12"/>
    <mergeCell ref="A13:A15"/>
    <mergeCell ref="A4:A6"/>
    <mergeCell ref="A7:A9"/>
    <mergeCell ref="L2:L3"/>
    <mergeCell ref="J2:J3"/>
    <mergeCell ref="K2:K3"/>
    <mergeCell ref="H2:H3"/>
    <mergeCell ref="A29:A31"/>
    <mergeCell ref="A20:A22"/>
    <mergeCell ref="A23:A25"/>
    <mergeCell ref="A26:A28"/>
    <mergeCell ref="G2:G3"/>
    <mergeCell ref="E2:F2"/>
  </mergeCells>
  <phoneticPr fontId="0" type="noConversion"/>
  <pageMargins left="0.75" right="0.75" top="1" bottom="1" header="0.5" footer="0.5"/>
  <pageSetup scale="9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activeCell="H15" sqref="H15"/>
    </sheetView>
  </sheetViews>
  <sheetFormatPr defaultRowHeight="13.2"/>
  <cols>
    <col min="1" max="1" width="12" customWidth="1"/>
    <col min="2" max="2" width="11.6640625" customWidth="1"/>
    <col min="3" max="3" width="16" customWidth="1"/>
    <col min="4" max="4" width="4.6640625" customWidth="1"/>
  </cols>
  <sheetData>
    <row r="1" spans="1:6">
      <c r="A1" s="126" t="s">
        <v>15</v>
      </c>
      <c r="B1" s="126"/>
      <c r="C1" s="126"/>
    </row>
    <row r="2" spans="1:6">
      <c r="A2" s="1" t="s">
        <v>3</v>
      </c>
      <c r="B2" s="11">
        <v>12.0107</v>
      </c>
      <c r="C2" s="2" t="s">
        <v>2</v>
      </c>
    </row>
    <row r="3" spans="1:6">
      <c r="A3" s="1" t="s">
        <v>4</v>
      </c>
      <c r="B3" s="11">
        <v>15.9994</v>
      </c>
      <c r="C3" s="2" t="s">
        <v>2</v>
      </c>
    </row>
    <row r="4" spans="1:6">
      <c r="A4" s="1" t="s">
        <v>5</v>
      </c>
      <c r="B4" s="11">
        <v>1.0079400000000001</v>
      </c>
      <c r="C4" s="2" t="s">
        <v>2</v>
      </c>
    </row>
    <row r="5" spans="1:6" ht="23.25" customHeight="1">
      <c r="A5" s="1" t="s">
        <v>6</v>
      </c>
      <c r="B5" s="12">
        <f>6.022*10^23</f>
        <v>6.0219999999999996E+23</v>
      </c>
      <c r="C5" s="12"/>
    </row>
    <row r="6" spans="1:6" ht="15.6">
      <c r="A6" s="1" t="s">
        <v>9</v>
      </c>
      <c r="B6" s="13">
        <v>8.20578E-2</v>
      </c>
      <c r="C6" s="14" t="s">
        <v>10</v>
      </c>
    </row>
    <row r="7" spans="1:6">
      <c r="A7" s="1" t="s">
        <v>11</v>
      </c>
      <c r="B7" s="15">
        <v>293.14999999999998</v>
      </c>
      <c r="C7" s="2" t="s">
        <v>16</v>
      </c>
    </row>
    <row r="8" spans="1:6">
      <c r="A8" s="1" t="s">
        <v>12</v>
      </c>
      <c r="B8" s="13">
        <v>1</v>
      </c>
      <c r="C8" s="2" t="s">
        <v>13</v>
      </c>
    </row>
    <row r="11" spans="1:6" ht="15.6">
      <c r="A11" s="142" t="s">
        <v>14</v>
      </c>
      <c r="B11" s="142"/>
      <c r="C11" s="142"/>
      <c r="D11" s="142"/>
      <c r="E11" s="142"/>
      <c r="F11" s="142"/>
    </row>
    <row r="12" spans="1:6" ht="20.25" customHeight="1">
      <c r="A12" s="4" t="s">
        <v>46</v>
      </c>
      <c r="B12" s="4"/>
      <c r="C12" s="4" t="s">
        <v>8</v>
      </c>
      <c r="E12" t="s">
        <v>47</v>
      </c>
    </row>
    <row r="13" spans="1:6" ht="24" customHeight="1">
      <c r="A13" s="10" t="s">
        <v>42</v>
      </c>
      <c r="B13" s="10" t="s">
        <v>45</v>
      </c>
      <c r="C13" s="10" t="s">
        <v>43</v>
      </c>
      <c r="E13" s="10" t="s">
        <v>44</v>
      </c>
    </row>
    <row r="14" spans="1:6" ht="15">
      <c r="A14" s="4">
        <f>B2*6+B4*12+B3*6</f>
        <v>180.15588</v>
      </c>
      <c r="B14" s="10" t="s">
        <v>45</v>
      </c>
      <c r="C14" s="4">
        <f>2*(B2+B4*3+B2+B4*2+B3+B4)</f>
        <v>92.136879999999991</v>
      </c>
      <c r="D14" s="4" t="s">
        <v>7</v>
      </c>
      <c r="E14" s="4">
        <f>2*(B2+B3*2)</f>
        <v>88.019000000000005</v>
      </c>
      <c r="F14" s="4" t="s">
        <v>2</v>
      </c>
    </row>
  </sheetData>
  <mergeCells count="2">
    <mergeCell ref="A1:C1"/>
    <mergeCell ref="A11:F11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Recipe Sheet</vt:lpstr>
      <vt:lpstr>BrewHouse Setup</vt:lpstr>
      <vt:lpstr>Grain Bill Calcs</vt:lpstr>
      <vt:lpstr>Mash Calcs</vt:lpstr>
      <vt:lpstr>Hops Calcs</vt:lpstr>
      <vt:lpstr>Conversion Tables</vt:lpstr>
      <vt:lpstr>Priming</vt:lpstr>
      <vt:lpstr>Common Variables</vt:lpstr>
    </vt:vector>
  </TitlesOfParts>
  <Company>BEER-N-BBQ by Larry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Brewing Recipe Template</dc:title>
  <dc:subject>Calculate Stuff</dc:subject>
  <dc:creator>BEER-N-BBQ by Larry</dc:creator>
  <dc:description>By BEER-N-BBQ by Larry</dc:description>
  <cp:lastModifiedBy>Larry Carpenter</cp:lastModifiedBy>
  <cp:lastPrinted>2015-12-27T16:00:40Z</cp:lastPrinted>
  <dcterms:created xsi:type="dcterms:W3CDTF">2003-11-09T22:26:20Z</dcterms:created>
  <dcterms:modified xsi:type="dcterms:W3CDTF">2016-06-12T13:33:41Z</dcterms:modified>
</cp:coreProperties>
</file>